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760" firstSheet="1" activeTab="3"/>
  </bookViews>
  <sheets>
    <sheet name="SGV" sheetId="18" state="veryHidden" r:id="rId1"/>
    <sheet name="phường Quảng Trị TH" sheetId="31" r:id="rId2"/>
    <sheet name="phường Quảng Trị" sheetId="25" r:id="rId3"/>
    <sheet name="mẫu 3a" sheetId="32" r:id="rId4"/>
  </sheets>
  <definedNames>
    <definedName name="_xlnm._FilterDatabase" localSheetId="2" hidden="1">'phường Quảng Trị'!$B$3:$Q$301</definedName>
    <definedName name="_xlnm._FilterDatabase" localSheetId="1" hidden="1">'phường Quảng Trị TH'!$B$3:$P$187</definedName>
    <definedName name="_xlnm.Print_Area" localSheetId="3">'mẫu 3a'!$A$1:$T$237</definedName>
    <definedName name="_xlnm.Print_Area" localSheetId="2">'phường Quảng Trị'!$A$1:$M$366</definedName>
    <definedName name="_xlnm.Print_Area" localSheetId="1">'phường Quảng Trị TH'!$A$1:$L$231</definedName>
  </definedNames>
  <calcPr calcId="181029"/>
</workbook>
</file>

<file path=xl/calcChain.xml><?xml version="1.0" encoding="utf-8"?>
<calcChain xmlns="http://schemas.openxmlformats.org/spreadsheetml/2006/main">
  <c r="F168" i="31" l="1"/>
  <c r="H168" i="31"/>
  <c r="I168" i="31"/>
  <c r="J168" i="31"/>
  <c r="K168" i="31"/>
  <c r="Q231" i="32" l="1"/>
  <c r="Q230" i="32"/>
  <c r="Q229" i="32" s="1"/>
  <c r="H229" i="32"/>
  <c r="G229" i="32"/>
  <c r="Q228" i="32"/>
  <c r="Q227" i="32" s="1"/>
  <c r="H227" i="32"/>
  <c r="G227" i="32"/>
  <c r="H225" i="32"/>
  <c r="Q225" i="32"/>
  <c r="G225" i="32"/>
  <c r="Q226" i="32"/>
  <c r="Q224" i="32"/>
  <c r="Q222" i="32" s="1"/>
  <c r="Q223" i="32"/>
  <c r="H222" i="32"/>
  <c r="G222" i="32"/>
  <c r="H220" i="32"/>
  <c r="G220" i="32"/>
  <c r="Q221" i="32"/>
  <c r="Q220" i="32" s="1"/>
  <c r="Q210" i="32"/>
  <c r="Q211" i="32"/>
  <c r="Q212" i="32"/>
  <c r="Q213" i="32"/>
  <c r="Q214" i="32"/>
  <c r="Q215" i="32"/>
  <c r="Q216" i="32"/>
  <c r="Q217" i="32"/>
  <c r="Q218" i="32"/>
  <c r="Q219" i="32"/>
  <c r="Q209" i="32"/>
  <c r="H208" i="32"/>
  <c r="G208" i="32"/>
  <c r="Q180" i="32"/>
  <c r="Q181" i="32"/>
  <c r="Q182" i="32"/>
  <c r="Q183" i="32"/>
  <c r="Q184" i="32"/>
  <c r="Q185" i="32"/>
  <c r="Q186" i="32"/>
  <c r="Q187" i="32"/>
  <c r="Q188" i="32"/>
  <c r="Q189" i="32"/>
  <c r="Q190" i="32"/>
  <c r="Q191" i="32"/>
  <c r="Q192" i="32"/>
  <c r="Q193" i="32"/>
  <c r="Q194" i="32"/>
  <c r="Q195" i="32"/>
  <c r="Q196" i="32"/>
  <c r="Q197" i="32"/>
  <c r="Q198" i="32"/>
  <c r="Q199" i="32"/>
  <c r="Q200" i="32"/>
  <c r="Q201" i="32"/>
  <c r="Q202" i="32"/>
  <c r="Q203" i="32"/>
  <c r="Q204" i="32"/>
  <c r="Q205" i="32"/>
  <c r="Q206" i="32"/>
  <c r="Q207" i="32"/>
  <c r="Q179" i="32"/>
  <c r="H178" i="32"/>
  <c r="I178" i="32"/>
  <c r="J178" i="32"/>
  <c r="K178" i="32"/>
  <c r="L178" i="32"/>
  <c r="M178" i="32"/>
  <c r="N178" i="32"/>
  <c r="O178" i="32"/>
  <c r="P178" i="32"/>
  <c r="G178" i="32"/>
  <c r="Q146" i="32"/>
  <c r="Q147" i="32"/>
  <c r="Q148" i="32"/>
  <c r="Q149" i="32"/>
  <c r="Q150" i="32"/>
  <c r="Q151" i="32"/>
  <c r="Q152" i="32"/>
  <c r="Q153" i="32"/>
  <c r="Q154" i="32"/>
  <c r="Q155" i="32"/>
  <c r="Q156" i="32"/>
  <c r="Q157" i="32"/>
  <c r="Q158" i="32"/>
  <c r="Q159" i="32"/>
  <c r="Q160" i="32"/>
  <c r="Q161" i="32"/>
  <c r="Q162" i="32"/>
  <c r="Q163" i="32"/>
  <c r="Q164" i="32"/>
  <c r="Q165" i="32"/>
  <c r="Q166" i="32"/>
  <c r="Q167" i="32"/>
  <c r="Q168" i="32"/>
  <c r="Q169" i="32"/>
  <c r="Q170" i="32"/>
  <c r="Q171" i="32"/>
  <c r="Q172" i="32"/>
  <c r="Q173" i="32"/>
  <c r="Q174" i="32"/>
  <c r="Q175" i="32"/>
  <c r="Q176" i="32"/>
  <c r="Q177" i="32"/>
  <c r="Q145" i="32"/>
  <c r="H144" i="32"/>
  <c r="G144" i="32"/>
  <c r="U89" i="32"/>
  <c r="Q87" i="32"/>
  <c r="Q88" i="32"/>
  <c r="Q89" i="32"/>
  <c r="Q90" i="32"/>
  <c r="Q91" i="32"/>
  <c r="Q92" i="32"/>
  <c r="Q93" i="32"/>
  <c r="Q94" i="32"/>
  <c r="Q95" i="32"/>
  <c r="Q96" i="32"/>
  <c r="Q97" i="32"/>
  <c r="Q98" i="32"/>
  <c r="Q99" i="32"/>
  <c r="Q100" i="32"/>
  <c r="Q101" i="32"/>
  <c r="Q102" i="32"/>
  <c r="Q103" i="32"/>
  <c r="Q104" i="32"/>
  <c r="Q105" i="32"/>
  <c r="Q106" i="32"/>
  <c r="Q107" i="32"/>
  <c r="Q108" i="32"/>
  <c r="Q109" i="32"/>
  <c r="Q110" i="32"/>
  <c r="Q111" i="32"/>
  <c r="Q112" i="32"/>
  <c r="Q113" i="32"/>
  <c r="Q114" i="32"/>
  <c r="Q115" i="32"/>
  <c r="Q116" i="32"/>
  <c r="Q117" i="32"/>
  <c r="Q118" i="32"/>
  <c r="Q119" i="32"/>
  <c r="Q120" i="32"/>
  <c r="Q121" i="32"/>
  <c r="Q122" i="32"/>
  <c r="Q123" i="32"/>
  <c r="Q124" i="32"/>
  <c r="Q125" i="32"/>
  <c r="Q126" i="32"/>
  <c r="Q127" i="32"/>
  <c r="Q128" i="32"/>
  <c r="Q129" i="32"/>
  <c r="Q130" i="32"/>
  <c r="Q131" i="32"/>
  <c r="Q132" i="32"/>
  <c r="Q133" i="32"/>
  <c r="Q134" i="32"/>
  <c r="Q135" i="32"/>
  <c r="Q136" i="32"/>
  <c r="Q137" i="32"/>
  <c r="Q138" i="32"/>
  <c r="Q139" i="32"/>
  <c r="Q140" i="32"/>
  <c r="Q141" i="32"/>
  <c r="Q142" i="32"/>
  <c r="Q143" i="32"/>
  <c r="Q86" i="32"/>
  <c r="H85" i="32"/>
  <c r="U80" i="32"/>
  <c r="G85" i="32"/>
  <c r="Q11" i="32"/>
  <c r="Q12" i="32"/>
  <c r="Q13" i="32"/>
  <c r="Q14" i="32"/>
  <c r="Q15" i="32"/>
  <c r="Q16" i="32"/>
  <c r="Q17" i="32"/>
  <c r="Q18" i="32"/>
  <c r="Q19" i="32"/>
  <c r="Q20" i="32"/>
  <c r="Q21" i="32"/>
  <c r="Q22" i="32"/>
  <c r="Q23" i="32"/>
  <c r="Q24" i="32"/>
  <c r="Q25" i="32"/>
  <c r="Q26" i="32"/>
  <c r="Q27" i="32"/>
  <c r="Q28" i="32"/>
  <c r="Q29" i="32"/>
  <c r="Q30" i="32"/>
  <c r="Q31" i="32"/>
  <c r="Q32" i="32"/>
  <c r="Q33" i="32"/>
  <c r="Q34" i="32"/>
  <c r="Q35" i="32"/>
  <c r="Q36" i="32"/>
  <c r="Q37" i="32"/>
  <c r="Q38" i="32"/>
  <c r="Q39" i="32"/>
  <c r="Q40" i="32"/>
  <c r="Q41" i="32"/>
  <c r="Q42" i="32"/>
  <c r="Q43" i="32"/>
  <c r="Q44" i="32"/>
  <c r="Q45" i="32"/>
  <c r="Q46" i="32"/>
  <c r="Q47" i="32"/>
  <c r="Q48" i="32"/>
  <c r="Q49" i="32"/>
  <c r="Q50" i="32"/>
  <c r="Q51" i="32"/>
  <c r="Q52" i="32"/>
  <c r="Q53" i="32"/>
  <c r="Q54" i="32"/>
  <c r="Q55" i="32"/>
  <c r="Q56" i="32"/>
  <c r="Q57" i="32"/>
  <c r="Q58" i="32"/>
  <c r="Q59" i="32"/>
  <c r="Q60" i="32"/>
  <c r="Q61" i="32"/>
  <c r="Q62" i="32"/>
  <c r="Q63" i="32"/>
  <c r="Q64" i="32"/>
  <c r="Q65" i="32"/>
  <c r="Q66" i="32"/>
  <c r="Q67" i="32"/>
  <c r="Q68" i="32"/>
  <c r="Q69" i="32"/>
  <c r="Q70" i="32"/>
  <c r="Q71" i="32"/>
  <c r="Q72" i="32"/>
  <c r="Q73" i="32"/>
  <c r="Q74" i="32"/>
  <c r="Q75" i="32"/>
  <c r="Q76" i="32"/>
  <c r="Q77" i="32"/>
  <c r="Q78" i="32"/>
  <c r="Q79" i="32"/>
  <c r="Q80" i="32"/>
  <c r="Q81" i="32"/>
  <c r="Q82" i="32"/>
  <c r="Q83" i="32"/>
  <c r="Q84" i="32"/>
  <c r="Q10" i="32"/>
  <c r="H9" i="32"/>
  <c r="G9" i="32"/>
  <c r="F16" i="31"/>
  <c r="G16" i="31"/>
  <c r="H16" i="31"/>
  <c r="J16" i="31"/>
  <c r="K16" i="31"/>
  <c r="F15" i="31"/>
  <c r="G15" i="31"/>
  <c r="H15" i="31"/>
  <c r="I15" i="31"/>
  <c r="J15" i="31"/>
  <c r="K15" i="31"/>
  <c r="F14" i="31"/>
  <c r="G14" i="31"/>
  <c r="H14" i="31"/>
  <c r="J14" i="31"/>
  <c r="K14" i="31"/>
  <c r="F12" i="31"/>
  <c r="G12" i="31"/>
  <c r="H12" i="31"/>
  <c r="I12" i="31"/>
  <c r="J12" i="31"/>
  <c r="K12" i="31"/>
  <c r="F11" i="31"/>
  <c r="G11" i="31"/>
  <c r="H11" i="31"/>
  <c r="I11" i="31"/>
  <c r="J11" i="31"/>
  <c r="K11" i="31"/>
  <c r="F231" i="31"/>
  <c r="F229" i="31" s="1"/>
  <c r="G231" i="31"/>
  <c r="G229" i="31" s="1"/>
  <c r="H231" i="31"/>
  <c r="H229" i="31" s="1"/>
  <c r="F228" i="31"/>
  <c r="F227" i="31" s="1"/>
  <c r="G228" i="31"/>
  <c r="G227" i="31" s="1"/>
  <c r="H228" i="31"/>
  <c r="H227" i="31" s="1"/>
  <c r="F226" i="31"/>
  <c r="F225" i="31" s="1"/>
  <c r="G226" i="31"/>
  <c r="G225" i="31" s="1"/>
  <c r="H226" i="31"/>
  <c r="H225" i="31" s="1"/>
  <c r="J222" i="31"/>
  <c r="K222" i="31"/>
  <c r="F224" i="31"/>
  <c r="F222" i="31" s="1"/>
  <c r="G224" i="31"/>
  <c r="G222" i="31" s="1"/>
  <c r="F220" i="31"/>
  <c r="G220" i="31"/>
  <c r="J220" i="31"/>
  <c r="K220" i="31"/>
  <c r="H221" i="31"/>
  <c r="H220" i="31" s="1"/>
  <c r="I221" i="31"/>
  <c r="I220" i="31" s="1"/>
  <c r="F217" i="31"/>
  <c r="G217" i="31"/>
  <c r="H217" i="31"/>
  <c r="J217" i="31"/>
  <c r="K217" i="31"/>
  <c r="F215" i="31"/>
  <c r="G215" i="31"/>
  <c r="H215" i="31"/>
  <c r="I215" i="31"/>
  <c r="J215" i="31"/>
  <c r="K215" i="31"/>
  <c r="H213" i="31"/>
  <c r="I213" i="31"/>
  <c r="K213" i="31"/>
  <c r="F212" i="31"/>
  <c r="H212" i="31"/>
  <c r="J212" i="31"/>
  <c r="K212" i="31"/>
  <c r="F210" i="31"/>
  <c r="F205" i="31"/>
  <c r="G205" i="31"/>
  <c r="H205" i="31"/>
  <c r="J205" i="31"/>
  <c r="K205" i="31"/>
  <c r="F203" i="31"/>
  <c r="H203" i="31"/>
  <c r="J203" i="31"/>
  <c r="K203" i="31"/>
  <c r="F202" i="31"/>
  <c r="G202" i="31"/>
  <c r="H202" i="31"/>
  <c r="I202" i="31"/>
  <c r="J202" i="31"/>
  <c r="K202" i="31"/>
  <c r="F198" i="31"/>
  <c r="G198" i="31"/>
  <c r="H198" i="31"/>
  <c r="J198" i="31"/>
  <c r="K198" i="31"/>
  <c r="F197" i="31"/>
  <c r="G197" i="31"/>
  <c r="H197" i="31"/>
  <c r="I197" i="31"/>
  <c r="J197" i="31"/>
  <c r="K197" i="31"/>
  <c r="F195" i="31"/>
  <c r="H195" i="31"/>
  <c r="I195" i="31"/>
  <c r="J195" i="31"/>
  <c r="K195" i="31"/>
  <c r="F188" i="31"/>
  <c r="H188" i="31"/>
  <c r="J188" i="31"/>
  <c r="K188" i="31"/>
  <c r="F187" i="31"/>
  <c r="H187" i="31"/>
  <c r="I187" i="31"/>
  <c r="J187" i="31"/>
  <c r="K187" i="31"/>
  <c r="H186" i="31"/>
  <c r="I186" i="31"/>
  <c r="J186" i="31"/>
  <c r="K186" i="31"/>
  <c r="H185" i="31"/>
  <c r="J185" i="31"/>
  <c r="K185" i="31"/>
  <c r="F184" i="31"/>
  <c r="H184" i="31"/>
  <c r="I184" i="31"/>
  <c r="J184" i="31"/>
  <c r="K184" i="31"/>
  <c r="F182" i="31"/>
  <c r="G182" i="31"/>
  <c r="H182" i="31"/>
  <c r="I182" i="31"/>
  <c r="J182" i="31"/>
  <c r="K182" i="31"/>
  <c r="F181" i="31"/>
  <c r="G181" i="31"/>
  <c r="H181" i="31"/>
  <c r="I181" i="31"/>
  <c r="J181" i="31"/>
  <c r="K181" i="31"/>
  <c r="F180" i="31"/>
  <c r="G180" i="31"/>
  <c r="H180" i="31"/>
  <c r="J180" i="31"/>
  <c r="K180" i="31"/>
  <c r="F175" i="31"/>
  <c r="G175" i="31"/>
  <c r="H175" i="31"/>
  <c r="I175" i="31"/>
  <c r="J175" i="31"/>
  <c r="K175" i="31"/>
  <c r="F171" i="31"/>
  <c r="G171" i="31"/>
  <c r="J171" i="31"/>
  <c r="K171" i="31"/>
  <c r="F169" i="31"/>
  <c r="G169" i="31"/>
  <c r="H169" i="31"/>
  <c r="J169" i="31"/>
  <c r="K169" i="31"/>
  <c r="F167" i="31"/>
  <c r="H167" i="31"/>
  <c r="I167" i="31"/>
  <c r="J167" i="31"/>
  <c r="K167" i="31"/>
  <c r="F166" i="31"/>
  <c r="G166" i="31"/>
  <c r="H166" i="31"/>
  <c r="I166" i="31"/>
  <c r="J166" i="31"/>
  <c r="K166" i="31"/>
  <c r="F164" i="31"/>
  <c r="G164" i="31"/>
  <c r="H164" i="31"/>
  <c r="J164" i="31"/>
  <c r="K164" i="31"/>
  <c r="F161" i="31"/>
  <c r="G161" i="31"/>
  <c r="H161" i="31"/>
  <c r="I161" i="31"/>
  <c r="J161" i="31"/>
  <c r="K161" i="31"/>
  <c r="F160" i="31"/>
  <c r="G160" i="31"/>
  <c r="J160" i="31"/>
  <c r="K160" i="31"/>
  <c r="F159" i="31"/>
  <c r="G159" i="31"/>
  <c r="H159" i="31"/>
  <c r="J159" i="31"/>
  <c r="K159" i="31"/>
  <c r="F158" i="31"/>
  <c r="H158" i="31"/>
  <c r="J158" i="31"/>
  <c r="K158" i="31"/>
  <c r="F156" i="31"/>
  <c r="J156" i="31"/>
  <c r="K156" i="31"/>
  <c r="F155" i="31"/>
  <c r="H155" i="31"/>
  <c r="J155" i="31"/>
  <c r="K155" i="31"/>
  <c r="F152" i="31"/>
  <c r="H152" i="31"/>
  <c r="J152" i="31"/>
  <c r="K152" i="31"/>
  <c r="F150" i="31"/>
  <c r="G150" i="31"/>
  <c r="H150" i="31"/>
  <c r="I150" i="31"/>
  <c r="J150" i="31"/>
  <c r="K150" i="31"/>
  <c r="F149" i="31"/>
  <c r="G149" i="31"/>
  <c r="J149" i="31"/>
  <c r="K149" i="31"/>
  <c r="F148" i="31"/>
  <c r="G148" i="31"/>
  <c r="H148" i="31"/>
  <c r="J148" i="31"/>
  <c r="K148" i="31"/>
  <c r="F147" i="31"/>
  <c r="G147" i="31"/>
  <c r="H147" i="31"/>
  <c r="J147" i="31"/>
  <c r="K147" i="31"/>
  <c r="F145" i="31"/>
  <c r="G145" i="31"/>
  <c r="H145" i="31"/>
  <c r="I145" i="31"/>
  <c r="J145" i="31"/>
  <c r="K145" i="31"/>
  <c r="F142" i="31"/>
  <c r="G142" i="31"/>
  <c r="J142" i="31"/>
  <c r="K142" i="31"/>
  <c r="F135" i="31"/>
  <c r="J135" i="31"/>
  <c r="K135" i="31"/>
  <c r="H126" i="31"/>
  <c r="J126" i="31"/>
  <c r="K126" i="31"/>
  <c r="F124" i="31"/>
  <c r="G124" i="31"/>
  <c r="H124" i="31"/>
  <c r="J124" i="31"/>
  <c r="K124" i="31"/>
  <c r="F123" i="31"/>
  <c r="H123" i="31"/>
  <c r="J123" i="31"/>
  <c r="K123" i="31"/>
  <c r="F122" i="31"/>
  <c r="G122" i="31"/>
  <c r="H122" i="31"/>
  <c r="J122" i="31"/>
  <c r="K122" i="31"/>
  <c r="F119" i="31"/>
  <c r="G119" i="31"/>
  <c r="H119" i="31"/>
  <c r="J119" i="31"/>
  <c r="K119" i="31"/>
  <c r="F115" i="31"/>
  <c r="H115" i="31"/>
  <c r="J115" i="31"/>
  <c r="K115" i="31"/>
  <c r="F112" i="31"/>
  <c r="H112" i="31"/>
  <c r="J112" i="31"/>
  <c r="K112" i="31"/>
  <c r="J111" i="31"/>
  <c r="K111" i="31"/>
  <c r="H108" i="31"/>
  <c r="J108" i="31"/>
  <c r="K108" i="31"/>
  <c r="F105" i="31"/>
  <c r="G105" i="31"/>
  <c r="H105" i="31"/>
  <c r="J105" i="31"/>
  <c r="K105" i="31"/>
  <c r="F104" i="31"/>
  <c r="H104" i="31"/>
  <c r="I104" i="31"/>
  <c r="J104" i="31"/>
  <c r="K104" i="31"/>
  <c r="F100" i="31"/>
  <c r="G100" i="31"/>
  <c r="H100" i="31"/>
  <c r="I100" i="31"/>
  <c r="J100" i="31"/>
  <c r="K100" i="31"/>
  <c r="F97" i="31"/>
  <c r="G97" i="31"/>
  <c r="H97" i="31"/>
  <c r="J97" i="31"/>
  <c r="K97" i="31"/>
  <c r="F96" i="31"/>
  <c r="G96" i="31"/>
  <c r="H96" i="31"/>
  <c r="I96" i="31"/>
  <c r="J96" i="31"/>
  <c r="K96" i="31"/>
  <c r="F95" i="31"/>
  <c r="J95" i="31"/>
  <c r="K95" i="31"/>
  <c r="F92" i="31"/>
  <c r="H92" i="31"/>
  <c r="I92" i="31"/>
  <c r="J92" i="31"/>
  <c r="K92" i="31"/>
  <c r="F90" i="31"/>
  <c r="H90" i="31"/>
  <c r="J90" i="31"/>
  <c r="K90" i="31"/>
  <c r="F88" i="31"/>
  <c r="G88" i="31"/>
  <c r="H88" i="31"/>
  <c r="I88" i="31"/>
  <c r="J88" i="31"/>
  <c r="K88" i="31"/>
  <c r="F87" i="31"/>
  <c r="H87" i="31"/>
  <c r="J87" i="31"/>
  <c r="K87" i="31"/>
  <c r="F84" i="31"/>
  <c r="G84" i="31"/>
  <c r="H84" i="31"/>
  <c r="I84" i="31"/>
  <c r="J84" i="31"/>
  <c r="K84" i="31"/>
  <c r="F81" i="31"/>
  <c r="G81" i="31"/>
  <c r="H81" i="31"/>
  <c r="J81" i="31"/>
  <c r="K81" i="31"/>
  <c r="F75" i="31"/>
  <c r="G75" i="31"/>
  <c r="H75" i="31"/>
  <c r="J75" i="31"/>
  <c r="K75" i="31"/>
  <c r="F65" i="31"/>
  <c r="G65" i="31"/>
  <c r="H65" i="31"/>
  <c r="J65" i="31"/>
  <c r="K65" i="31"/>
  <c r="F59" i="31"/>
  <c r="G59" i="31"/>
  <c r="H59" i="31"/>
  <c r="J59" i="31"/>
  <c r="K59" i="31"/>
  <c r="F58" i="31"/>
  <c r="H58" i="31"/>
  <c r="J58" i="31"/>
  <c r="K58" i="31"/>
  <c r="F56" i="31"/>
  <c r="H56" i="31"/>
  <c r="J56" i="31"/>
  <c r="K56" i="31"/>
  <c r="F55" i="31"/>
  <c r="G55" i="31"/>
  <c r="H55" i="31"/>
  <c r="I55" i="31"/>
  <c r="J55" i="31"/>
  <c r="K55" i="31"/>
  <c r="F54" i="31"/>
  <c r="G54" i="31"/>
  <c r="H54" i="31"/>
  <c r="I54" i="31"/>
  <c r="J54" i="31"/>
  <c r="K54" i="31"/>
  <c r="F51" i="31"/>
  <c r="G51" i="31"/>
  <c r="H51" i="31"/>
  <c r="I51" i="31"/>
  <c r="J51" i="31"/>
  <c r="K51" i="31"/>
  <c r="F50" i="31"/>
  <c r="G50" i="31"/>
  <c r="H50" i="31"/>
  <c r="J50" i="31"/>
  <c r="K50" i="31"/>
  <c r="F49" i="31"/>
  <c r="G49" i="31"/>
  <c r="H49" i="31"/>
  <c r="I49" i="31"/>
  <c r="J49" i="31"/>
  <c r="K49" i="31"/>
  <c r="F48" i="31"/>
  <c r="G48" i="31"/>
  <c r="H48" i="31"/>
  <c r="I48" i="31"/>
  <c r="J48" i="31"/>
  <c r="K48" i="31"/>
  <c r="F45" i="31"/>
  <c r="H45" i="31"/>
  <c r="J45" i="31"/>
  <c r="K45" i="31"/>
  <c r="F44" i="31"/>
  <c r="H44" i="31"/>
  <c r="J44" i="31"/>
  <c r="K44" i="31"/>
  <c r="F43" i="31"/>
  <c r="H43" i="31"/>
  <c r="I43" i="31"/>
  <c r="J43" i="31"/>
  <c r="K43" i="31"/>
  <c r="F40" i="31"/>
  <c r="H40" i="31"/>
  <c r="I40" i="31"/>
  <c r="J40" i="31"/>
  <c r="K40" i="31"/>
  <c r="F39" i="31"/>
  <c r="G39" i="31"/>
  <c r="H39" i="31"/>
  <c r="I39" i="31"/>
  <c r="J39" i="31"/>
  <c r="K39" i="31"/>
  <c r="F37" i="31"/>
  <c r="G37" i="31"/>
  <c r="H37" i="31"/>
  <c r="I37" i="31"/>
  <c r="J37" i="31"/>
  <c r="K37" i="31"/>
  <c r="F31" i="31"/>
  <c r="H31" i="31"/>
  <c r="I31" i="31"/>
  <c r="J31" i="31"/>
  <c r="K31" i="31"/>
  <c r="F30" i="31"/>
  <c r="G30" i="31"/>
  <c r="H30" i="31"/>
  <c r="I30" i="31"/>
  <c r="J30" i="31"/>
  <c r="K30" i="31"/>
  <c r="F27" i="31"/>
  <c r="H27" i="31"/>
  <c r="I27" i="31"/>
  <c r="J27" i="31"/>
  <c r="K27" i="31"/>
  <c r="F22" i="31"/>
  <c r="H22" i="31"/>
  <c r="I22" i="31"/>
  <c r="J22" i="31"/>
  <c r="K22" i="31"/>
  <c r="F21" i="31"/>
  <c r="G21" i="31"/>
  <c r="H21" i="31"/>
  <c r="I21" i="31"/>
  <c r="J21" i="31"/>
  <c r="K21" i="31"/>
  <c r="F20" i="31"/>
  <c r="H20" i="31"/>
  <c r="J20" i="31"/>
  <c r="K20" i="31"/>
  <c r="F17" i="31"/>
  <c r="H17" i="31"/>
  <c r="I17" i="31"/>
  <c r="J17" i="31"/>
  <c r="K17" i="31"/>
  <c r="E12" i="25"/>
  <c r="F12" i="25"/>
  <c r="E11" i="25"/>
  <c r="F11" i="25"/>
  <c r="E11" i="31" s="1"/>
  <c r="Q85" i="32" l="1"/>
  <c r="Q178" i="32"/>
  <c r="Q144" i="32"/>
  <c r="G8" i="32"/>
  <c r="H8" i="32"/>
  <c r="Q208" i="32"/>
  <c r="Q9" i="32"/>
  <c r="Q8" i="32"/>
  <c r="D11" i="31"/>
  <c r="I230" i="31"/>
  <c r="E230" i="31" s="1"/>
  <c r="D230" i="31"/>
  <c r="I223" i="31"/>
  <c r="E223" i="31" s="1"/>
  <c r="D223" i="31"/>
  <c r="E219" i="31"/>
  <c r="D219" i="31"/>
  <c r="I218" i="31"/>
  <c r="E218" i="31" s="1"/>
  <c r="D218" i="31"/>
  <c r="I216" i="31"/>
  <c r="E216" i="31" s="1"/>
  <c r="D216" i="31"/>
  <c r="I214" i="31"/>
  <c r="E214" i="31" s="1"/>
  <c r="D214" i="31"/>
  <c r="G211" i="31"/>
  <c r="E211" i="31" s="1"/>
  <c r="D211" i="31"/>
  <c r="I209" i="31"/>
  <c r="G209" i="31"/>
  <c r="D209" i="31"/>
  <c r="K208" i="31"/>
  <c r="H208" i="31"/>
  <c r="E207" i="31"/>
  <c r="D207" i="31"/>
  <c r="E206" i="31"/>
  <c r="D206" i="31"/>
  <c r="G204" i="31"/>
  <c r="E204" i="31" s="1"/>
  <c r="D204" i="31"/>
  <c r="E201" i="31"/>
  <c r="D201" i="31"/>
  <c r="E200" i="31"/>
  <c r="D200" i="31"/>
  <c r="E199" i="31"/>
  <c r="D199" i="31"/>
  <c r="G196" i="31"/>
  <c r="E196" i="31" s="1"/>
  <c r="D196" i="31"/>
  <c r="E194" i="31"/>
  <c r="D194" i="31"/>
  <c r="I193" i="31"/>
  <c r="E193" i="31" s="1"/>
  <c r="D193" i="31"/>
  <c r="E192" i="31"/>
  <c r="D192" i="31"/>
  <c r="E191" i="31"/>
  <c r="D191" i="31"/>
  <c r="I190" i="31"/>
  <c r="E190" i="31" s="1"/>
  <c r="D190" i="31"/>
  <c r="G189" i="31"/>
  <c r="E189" i="31" s="1"/>
  <c r="D189" i="31"/>
  <c r="I183" i="31"/>
  <c r="E183" i="31" s="1"/>
  <c r="D183" i="31"/>
  <c r="E179" i="31"/>
  <c r="D179" i="31"/>
  <c r="K178" i="31"/>
  <c r="J178" i="31"/>
  <c r="H178" i="31"/>
  <c r="E177" i="31"/>
  <c r="D177" i="31"/>
  <c r="I176" i="31"/>
  <c r="E176" i="31" s="1"/>
  <c r="D176" i="31"/>
  <c r="I174" i="31"/>
  <c r="E174" i="31" s="1"/>
  <c r="D174" i="31"/>
  <c r="I173" i="31"/>
  <c r="E173" i="31"/>
  <c r="D173" i="31"/>
  <c r="E172" i="31"/>
  <c r="D172" i="31"/>
  <c r="E170" i="31"/>
  <c r="D170" i="31"/>
  <c r="I165" i="31"/>
  <c r="E165" i="31" s="1"/>
  <c r="D165" i="31"/>
  <c r="E163" i="31"/>
  <c r="D163" i="31"/>
  <c r="E162" i="31"/>
  <c r="D162" i="31"/>
  <c r="G157" i="31"/>
  <c r="E157" i="31" s="1"/>
  <c r="D157" i="31"/>
  <c r="E154" i="31"/>
  <c r="D154" i="31"/>
  <c r="E153" i="31"/>
  <c r="D153" i="31"/>
  <c r="E151" i="31"/>
  <c r="D151" i="31"/>
  <c r="E146" i="31"/>
  <c r="D146" i="31"/>
  <c r="K144" i="31"/>
  <c r="J144" i="31"/>
  <c r="F144" i="31"/>
  <c r="E143" i="31"/>
  <c r="D143" i="31"/>
  <c r="I141" i="31"/>
  <c r="E141" i="31" s="1"/>
  <c r="D141" i="31"/>
  <c r="I140" i="31"/>
  <c r="E140" i="31" s="1"/>
  <c r="D140" i="31"/>
  <c r="E139" i="31"/>
  <c r="D139" i="31"/>
  <c r="E138" i="31"/>
  <c r="D138" i="31"/>
  <c r="E137" i="31"/>
  <c r="D137" i="31"/>
  <c r="E136" i="31"/>
  <c r="D136" i="31"/>
  <c r="G134" i="31"/>
  <c r="E134" i="31" s="1"/>
  <c r="F134" i="31"/>
  <c r="D134" i="31" s="1"/>
  <c r="E133" i="31"/>
  <c r="D133" i="31"/>
  <c r="G132" i="31"/>
  <c r="E132" i="31" s="1"/>
  <c r="F132" i="31"/>
  <c r="D132" i="31" s="1"/>
  <c r="E131" i="31"/>
  <c r="D131" i="31"/>
  <c r="I130" i="31"/>
  <c r="E130" i="31" s="1"/>
  <c r="D130" i="31"/>
  <c r="I129" i="31"/>
  <c r="G129" i="31"/>
  <c r="D129" i="31"/>
  <c r="E128" i="31"/>
  <c r="D128" i="31"/>
  <c r="E127" i="31"/>
  <c r="D127" i="31"/>
  <c r="G125" i="31"/>
  <c r="E125" i="31" s="1"/>
  <c r="D125" i="31"/>
  <c r="I121" i="31"/>
  <c r="E121" i="31" s="1"/>
  <c r="D121" i="31"/>
  <c r="I120" i="31"/>
  <c r="G120" i="31"/>
  <c r="D120" i="31"/>
  <c r="I118" i="31"/>
  <c r="E118" i="31" s="1"/>
  <c r="D118" i="31"/>
  <c r="I117" i="31"/>
  <c r="E117" i="31" s="1"/>
  <c r="D117" i="31"/>
  <c r="K116" i="31"/>
  <c r="K85" i="31" s="1"/>
  <c r="J116" i="31"/>
  <c r="J85" i="31" s="1"/>
  <c r="I116" i="31"/>
  <c r="H116" i="31"/>
  <c r="G116" i="31"/>
  <c r="E114" i="31"/>
  <c r="D114" i="31"/>
  <c r="I113" i="31"/>
  <c r="E113" i="31" s="1"/>
  <c r="D113" i="31"/>
  <c r="I110" i="31"/>
  <c r="G110" i="31"/>
  <c r="D110" i="31"/>
  <c r="I109" i="31"/>
  <c r="H109" i="31"/>
  <c r="D109" i="31" s="1"/>
  <c r="G109" i="31"/>
  <c r="E107" i="31"/>
  <c r="D107" i="31"/>
  <c r="I106" i="31"/>
  <c r="E106" i="31" s="1"/>
  <c r="D106" i="31"/>
  <c r="I103" i="31"/>
  <c r="E103" i="31" s="1"/>
  <c r="D103" i="31"/>
  <c r="E102" i="31"/>
  <c r="D102" i="31"/>
  <c r="E101" i="31"/>
  <c r="D101" i="31"/>
  <c r="E99" i="31"/>
  <c r="D99" i="31"/>
  <c r="E98" i="31"/>
  <c r="D98" i="31"/>
  <c r="E94" i="31"/>
  <c r="D94" i="31"/>
  <c r="G93" i="31"/>
  <c r="E93" i="31" s="1"/>
  <c r="D93" i="31"/>
  <c r="E91" i="31"/>
  <c r="D91" i="31"/>
  <c r="I89" i="31"/>
  <c r="E89" i="31" s="1"/>
  <c r="D89" i="31"/>
  <c r="E86" i="31"/>
  <c r="D86" i="31"/>
  <c r="E83" i="31"/>
  <c r="D83" i="31"/>
  <c r="I82" i="31"/>
  <c r="G82" i="31"/>
  <c r="D82" i="31"/>
  <c r="I80" i="31"/>
  <c r="E80" i="31" s="1"/>
  <c r="D80" i="31"/>
  <c r="E79" i="31"/>
  <c r="D79" i="31"/>
  <c r="E78" i="31"/>
  <c r="D78" i="31"/>
  <c r="E77" i="31"/>
  <c r="D77" i="31"/>
  <c r="E76" i="31"/>
  <c r="D76" i="31"/>
  <c r="E74" i="31"/>
  <c r="D74" i="31"/>
  <c r="E73" i="31"/>
  <c r="D73" i="31"/>
  <c r="I72" i="31"/>
  <c r="G72" i="31"/>
  <c r="D72" i="31"/>
  <c r="E71" i="31"/>
  <c r="D71" i="31"/>
  <c r="E70" i="31"/>
  <c r="D70" i="31"/>
  <c r="I69" i="31"/>
  <c r="E69" i="31" s="1"/>
  <c r="D69" i="31"/>
  <c r="E68" i="31"/>
  <c r="D68" i="31"/>
  <c r="I67" i="31"/>
  <c r="E67" i="31"/>
  <c r="D67" i="31"/>
  <c r="I66" i="31"/>
  <c r="E66" i="31" s="1"/>
  <c r="D66" i="31"/>
  <c r="E64" i="31"/>
  <c r="D64" i="31"/>
  <c r="E63" i="31"/>
  <c r="D63" i="31"/>
  <c r="E62" i="31"/>
  <c r="D62" i="31"/>
  <c r="E61" i="31"/>
  <c r="D61" i="31"/>
  <c r="E60" i="31"/>
  <c r="D60" i="31"/>
  <c r="E57" i="31"/>
  <c r="D57" i="31"/>
  <c r="E53" i="31"/>
  <c r="D53" i="31"/>
  <c r="E52" i="31"/>
  <c r="D52" i="31"/>
  <c r="E47" i="31"/>
  <c r="D47" i="31"/>
  <c r="E46" i="31"/>
  <c r="D46" i="31"/>
  <c r="I42" i="31"/>
  <c r="E42" i="31" s="1"/>
  <c r="D42" i="31"/>
  <c r="I41" i="31"/>
  <c r="G41" i="31"/>
  <c r="F41" i="31"/>
  <c r="D41" i="31" s="1"/>
  <c r="E38" i="31"/>
  <c r="D38" i="31"/>
  <c r="G36" i="31"/>
  <c r="E36" i="31"/>
  <c r="D36" i="31"/>
  <c r="E35" i="31"/>
  <c r="D35" i="31"/>
  <c r="G34" i="31"/>
  <c r="E34" i="31" s="1"/>
  <c r="F34" i="31"/>
  <c r="D34" i="31" s="1"/>
  <c r="E33" i="31"/>
  <c r="D33" i="31"/>
  <c r="I32" i="31"/>
  <c r="E32" i="31" s="1"/>
  <c r="D32" i="31"/>
  <c r="E29" i="31"/>
  <c r="D29" i="31"/>
  <c r="E28" i="31"/>
  <c r="D28" i="31"/>
  <c r="E26" i="31"/>
  <c r="D26" i="31"/>
  <c r="E25" i="31"/>
  <c r="D25" i="31"/>
  <c r="G24" i="31"/>
  <c r="E24" i="31" s="1"/>
  <c r="D24" i="31"/>
  <c r="E23" i="31"/>
  <c r="D23" i="31"/>
  <c r="E19" i="31"/>
  <c r="D19" i="31"/>
  <c r="E18" i="31"/>
  <c r="D18" i="31"/>
  <c r="I13" i="31"/>
  <c r="G13" i="31"/>
  <c r="D13" i="31"/>
  <c r="K10" i="31"/>
  <c r="K9" i="31" s="1"/>
  <c r="G10" i="31"/>
  <c r="D10" i="31"/>
  <c r="J9" i="31"/>
  <c r="H9" i="31"/>
  <c r="S6" i="31"/>
  <c r="R6" i="31"/>
  <c r="U4" i="31"/>
  <c r="T4" i="31"/>
  <c r="R4" i="31"/>
  <c r="G363" i="25"/>
  <c r="H363" i="25"/>
  <c r="I363" i="25"/>
  <c r="J366" i="25"/>
  <c r="F366" i="25" s="1"/>
  <c r="E366" i="25"/>
  <c r="J365" i="25"/>
  <c r="E365" i="25"/>
  <c r="J364" i="25"/>
  <c r="F364" i="25" s="1"/>
  <c r="E364" i="25"/>
  <c r="G360" i="25"/>
  <c r="H360" i="25"/>
  <c r="I360" i="25"/>
  <c r="J362" i="25"/>
  <c r="F362" i="25" s="1"/>
  <c r="E362" i="25"/>
  <c r="J361" i="25"/>
  <c r="F361" i="25" s="1"/>
  <c r="E361" i="25"/>
  <c r="I357" i="25"/>
  <c r="F359" i="25"/>
  <c r="E359" i="25"/>
  <c r="J358" i="25"/>
  <c r="F358" i="25" s="1"/>
  <c r="E358" i="25"/>
  <c r="G352" i="25"/>
  <c r="H352" i="25"/>
  <c r="K352" i="25"/>
  <c r="L352" i="25"/>
  <c r="J356" i="25"/>
  <c r="F356" i="25" s="1"/>
  <c r="I356" i="25"/>
  <c r="E356" i="25" s="1"/>
  <c r="J355" i="25"/>
  <c r="E355" i="25"/>
  <c r="F354" i="25"/>
  <c r="E354" i="25"/>
  <c r="J353" i="25"/>
  <c r="F353" i="25" s="1"/>
  <c r="E353" i="25"/>
  <c r="G349" i="25"/>
  <c r="H349" i="25"/>
  <c r="I349" i="25"/>
  <c r="J349" i="25"/>
  <c r="K349" i="25"/>
  <c r="L349" i="25"/>
  <c r="F351" i="25"/>
  <c r="E351" i="25"/>
  <c r="F350" i="25"/>
  <c r="E350" i="25"/>
  <c r="I331" i="25"/>
  <c r="L331" i="25"/>
  <c r="F348" i="25"/>
  <c r="E348" i="25"/>
  <c r="J347" i="25"/>
  <c r="F347" i="25" s="1"/>
  <c r="E347" i="25"/>
  <c r="J346" i="25"/>
  <c r="E346" i="25"/>
  <c r="F345" i="25"/>
  <c r="E345" i="25"/>
  <c r="J344" i="25"/>
  <c r="F344" i="25" s="1"/>
  <c r="E344" i="25"/>
  <c r="F343" i="25"/>
  <c r="E343" i="25"/>
  <c r="F342" i="25"/>
  <c r="E342" i="25"/>
  <c r="J341" i="25"/>
  <c r="F341" i="25" s="1"/>
  <c r="E341" i="25"/>
  <c r="K340" i="25"/>
  <c r="H340" i="25"/>
  <c r="G213" i="31" s="1"/>
  <c r="G340" i="25"/>
  <c r="E340" i="25" s="1"/>
  <c r="F339" i="25"/>
  <c r="E339" i="25"/>
  <c r="J338" i="25"/>
  <c r="I212" i="31" s="1"/>
  <c r="H338" i="25"/>
  <c r="G212" i="31" s="1"/>
  <c r="E338" i="25"/>
  <c r="F337" i="25"/>
  <c r="E337" i="25"/>
  <c r="F336" i="25"/>
  <c r="E336" i="25"/>
  <c r="H335" i="25"/>
  <c r="F335" i="25" s="1"/>
  <c r="E335" i="25"/>
  <c r="F334" i="25"/>
  <c r="E334" i="25"/>
  <c r="H333" i="25"/>
  <c r="G210" i="31" s="1"/>
  <c r="F333" i="25"/>
  <c r="E210" i="31" s="1"/>
  <c r="E333" i="25"/>
  <c r="J332" i="25"/>
  <c r="H332" i="25"/>
  <c r="E332" i="25"/>
  <c r="I283" i="25"/>
  <c r="K283" i="25"/>
  <c r="L283" i="25"/>
  <c r="F330" i="25"/>
  <c r="E330" i="25"/>
  <c r="F329" i="25"/>
  <c r="E329" i="25"/>
  <c r="J328" i="25"/>
  <c r="E328" i="25"/>
  <c r="F327" i="25"/>
  <c r="E327" i="25"/>
  <c r="H326" i="25"/>
  <c r="F326" i="25" s="1"/>
  <c r="E326" i="25"/>
  <c r="J325" i="25"/>
  <c r="I203" i="31" s="1"/>
  <c r="H325" i="25"/>
  <c r="G203" i="31" s="1"/>
  <c r="E325" i="25"/>
  <c r="F324" i="25"/>
  <c r="E324" i="25"/>
  <c r="D203" i="31" s="1"/>
  <c r="F323" i="25"/>
  <c r="E323" i="25"/>
  <c r="F322" i="25"/>
  <c r="E322" i="25"/>
  <c r="D202" i="31" s="1"/>
  <c r="F321" i="25"/>
  <c r="E321" i="25"/>
  <c r="F320" i="25"/>
  <c r="E320" i="25"/>
  <c r="F319" i="25"/>
  <c r="E319" i="25"/>
  <c r="J318" i="25"/>
  <c r="E318" i="25"/>
  <c r="F317" i="25"/>
  <c r="E317" i="25"/>
  <c r="F316" i="25"/>
  <c r="E316" i="25"/>
  <c r="F315" i="25"/>
  <c r="E315" i="25"/>
  <c r="H314" i="25"/>
  <c r="F314" i="25" s="1"/>
  <c r="E314" i="25"/>
  <c r="F313" i="25"/>
  <c r="E313" i="25"/>
  <c r="F312" i="25"/>
  <c r="E312" i="25"/>
  <c r="H311" i="25"/>
  <c r="G195" i="31" s="1"/>
  <c r="E311" i="25"/>
  <c r="F310" i="25"/>
  <c r="E310" i="25"/>
  <c r="J309" i="25"/>
  <c r="F309" i="25" s="1"/>
  <c r="E309" i="25"/>
  <c r="F308" i="25"/>
  <c r="E308" i="25"/>
  <c r="F307" i="25"/>
  <c r="E307" i="25"/>
  <c r="J306" i="25"/>
  <c r="F306" i="25"/>
  <c r="E306" i="25"/>
  <c r="H305" i="25"/>
  <c r="F305" i="25" s="1"/>
  <c r="E305" i="25"/>
  <c r="J304" i="25"/>
  <c r="I188" i="31" s="1"/>
  <c r="E304" i="25"/>
  <c r="H303" i="25"/>
  <c r="F303" i="25" s="1"/>
  <c r="E303" i="25"/>
  <c r="H302" i="25"/>
  <c r="F302" i="25" s="1"/>
  <c r="E302" i="25"/>
  <c r="F301" i="25"/>
  <c r="E301" i="25"/>
  <c r="H300" i="25"/>
  <c r="E300" i="25"/>
  <c r="H299" i="25"/>
  <c r="F299" i="25" s="1"/>
  <c r="G299" i="25"/>
  <c r="F186" i="31" s="1"/>
  <c r="F298" i="25"/>
  <c r="E298" i="25"/>
  <c r="H297" i="25"/>
  <c r="F297" i="25" s="1"/>
  <c r="E297" i="25"/>
  <c r="J296" i="25"/>
  <c r="E296" i="25"/>
  <c r="H295" i="25"/>
  <c r="G185" i="31" s="1"/>
  <c r="G295" i="25"/>
  <c r="E295" i="25" s="1"/>
  <c r="H294" i="25"/>
  <c r="F294" i="25" s="1"/>
  <c r="E294" i="25"/>
  <c r="F293" i="25"/>
  <c r="E293" i="25"/>
  <c r="J292" i="25"/>
  <c r="F292" i="25" s="1"/>
  <c r="E292" i="25"/>
  <c r="F291" i="25"/>
  <c r="E291" i="25"/>
  <c r="F290" i="25"/>
  <c r="E290" i="25"/>
  <c r="F289" i="25"/>
  <c r="E289" i="25"/>
  <c r="F288" i="25"/>
  <c r="E288" i="25"/>
  <c r="J287" i="25"/>
  <c r="F287" i="25"/>
  <c r="E287" i="25"/>
  <c r="F286" i="25"/>
  <c r="E286" i="25"/>
  <c r="F285" i="25"/>
  <c r="E285" i="25"/>
  <c r="F284" i="25"/>
  <c r="E284" i="25"/>
  <c r="G215" i="25"/>
  <c r="K215" i="25"/>
  <c r="L215" i="25"/>
  <c r="F282" i="25"/>
  <c r="E282" i="25"/>
  <c r="J281" i="25"/>
  <c r="F281" i="25"/>
  <c r="E281" i="25"/>
  <c r="F280" i="25"/>
  <c r="E280" i="25"/>
  <c r="F279" i="25"/>
  <c r="E279" i="25"/>
  <c r="F265" i="25"/>
  <c r="E265" i="25"/>
  <c r="J278" i="25"/>
  <c r="F278" i="25" s="1"/>
  <c r="E278" i="25"/>
  <c r="J277" i="25"/>
  <c r="F277" i="25" s="1"/>
  <c r="E277" i="25"/>
  <c r="F276" i="25"/>
  <c r="E276" i="25"/>
  <c r="J275" i="25"/>
  <c r="F275" i="25" s="1"/>
  <c r="E275" i="25"/>
  <c r="J274" i="25"/>
  <c r="F274" i="25" s="1"/>
  <c r="E274" i="25"/>
  <c r="J273" i="25"/>
  <c r="I273" i="25"/>
  <c r="E273" i="25" s="1"/>
  <c r="F273" i="25"/>
  <c r="J272" i="25"/>
  <c r="F272" i="25" s="1"/>
  <c r="I272" i="25"/>
  <c r="E272" i="25"/>
  <c r="J271" i="25"/>
  <c r="F271" i="25" s="1"/>
  <c r="E271" i="25"/>
  <c r="F270" i="25"/>
  <c r="E270" i="25"/>
  <c r="F269" i="25"/>
  <c r="E269" i="25"/>
  <c r="F268" i="25"/>
  <c r="E268" i="25"/>
  <c r="J267" i="25"/>
  <c r="E267" i="25"/>
  <c r="F266" i="25"/>
  <c r="E266" i="25"/>
  <c r="H264" i="25"/>
  <c r="G168" i="31" s="1"/>
  <c r="E264" i="25"/>
  <c r="H263" i="25"/>
  <c r="E263" i="25"/>
  <c r="F262" i="25"/>
  <c r="E262" i="25"/>
  <c r="F261" i="25"/>
  <c r="E261" i="25"/>
  <c r="F260" i="25"/>
  <c r="E260" i="25"/>
  <c r="F259" i="25"/>
  <c r="E259" i="25"/>
  <c r="J258" i="25"/>
  <c r="F258" i="25" s="1"/>
  <c r="E258" i="25"/>
  <c r="J257" i="25"/>
  <c r="I164" i="31" s="1"/>
  <c r="F257" i="25"/>
  <c r="E257" i="25"/>
  <c r="F256" i="25"/>
  <c r="E256" i="25"/>
  <c r="F255" i="25"/>
  <c r="E255" i="25"/>
  <c r="F254" i="25"/>
  <c r="E254" i="25"/>
  <c r="F253" i="25"/>
  <c r="E253" i="25"/>
  <c r="F252" i="25"/>
  <c r="E252" i="25"/>
  <c r="F251" i="25"/>
  <c r="E251" i="25"/>
  <c r="J250" i="25"/>
  <c r="I160" i="31" s="1"/>
  <c r="I250" i="25"/>
  <c r="H160" i="31" s="1"/>
  <c r="F249" i="25"/>
  <c r="E249" i="25"/>
  <c r="F248" i="25"/>
  <c r="E248" i="25"/>
  <c r="J247" i="25"/>
  <c r="E247" i="25"/>
  <c r="J246" i="25"/>
  <c r="F246" i="25"/>
  <c r="E246" i="25"/>
  <c r="J245" i="25"/>
  <c r="I158" i="31" s="1"/>
  <c r="H245" i="25"/>
  <c r="G158" i="31" s="1"/>
  <c r="E245" i="25"/>
  <c r="H244" i="25"/>
  <c r="F244" i="25" s="1"/>
  <c r="E244" i="25"/>
  <c r="J243" i="25"/>
  <c r="I156" i="31" s="1"/>
  <c r="I243" i="25"/>
  <c r="H243" i="25"/>
  <c r="G156" i="31" s="1"/>
  <c r="F242" i="25"/>
  <c r="E242" i="25"/>
  <c r="F241" i="25"/>
  <c r="E241" i="25"/>
  <c r="J240" i="25"/>
  <c r="I155" i="31" s="1"/>
  <c r="H240" i="25"/>
  <c r="G155" i="31" s="1"/>
  <c r="E240" i="25"/>
  <c r="F239" i="25"/>
  <c r="E239" i="25"/>
  <c r="F238" i="25"/>
  <c r="E238" i="25"/>
  <c r="F237" i="25"/>
  <c r="E237" i="25"/>
  <c r="J236" i="25"/>
  <c r="F236" i="25" s="1"/>
  <c r="E236" i="25"/>
  <c r="J235" i="25"/>
  <c r="F235" i="25" s="1"/>
  <c r="E235" i="25"/>
  <c r="J234" i="25"/>
  <c r="E234" i="25"/>
  <c r="F233" i="25"/>
  <c r="E233" i="25"/>
  <c r="F232" i="25"/>
  <c r="E232" i="25"/>
  <c r="H231" i="25"/>
  <c r="F231" i="25" s="1"/>
  <c r="E231" i="25"/>
  <c r="F230" i="25"/>
  <c r="E230" i="25"/>
  <c r="F229" i="25"/>
  <c r="E229" i="25"/>
  <c r="F228" i="25"/>
  <c r="E228" i="25"/>
  <c r="J227" i="25"/>
  <c r="F227" i="25" s="1"/>
  <c r="E227" i="25"/>
  <c r="J226" i="25"/>
  <c r="F226" i="25" s="1"/>
  <c r="I226" i="25"/>
  <c r="E226" i="25" s="1"/>
  <c r="J225" i="25"/>
  <c r="F225" i="25" s="1"/>
  <c r="E225" i="25"/>
  <c r="J224" i="25"/>
  <c r="F224" i="25" s="1"/>
  <c r="E224" i="25"/>
  <c r="J223" i="25"/>
  <c r="E223" i="25"/>
  <c r="F222" i="25"/>
  <c r="E222" i="25"/>
  <c r="F221" i="25"/>
  <c r="E221" i="25"/>
  <c r="F220" i="25"/>
  <c r="E220" i="25"/>
  <c r="J219" i="25"/>
  <c r="F219" i="25" s="1"/>
  <c r="E219" i="25"/>
  <c r="F218" i="25"/>
  <c r="E218" i="25"/>
  <c r="F217" i="25"/>
  <c r="E217" i="25"/>
  <c r="F216" i="25"/>
  <c r="E216" i="25"/>
  <c r="F214" i="25"/>
  <c r="E214" i="25"/>
  <c r="J213" i="25"/>
  <c r="F213" i="25" s="1"/>
  <c r="I213" i="25"/>
  <c r="H142" i="31" s="1"/>
  <c r="J212" i="25"/>
  <c r="F212" i="25" s="1"/>
  <c r="E212" i="25"/>
  <c r="J211" i="25"/>
  <c r="F211" i="25" s="1"/>
  <c r="E211" i="25"/>
  <c r="J210" i="25"/>
  <c r="F210" i="25" s="1"/>
  <c r="E210" i="25"/>
  <c r="F209" i="25"/>
  <c r="E209" i="25"/>
  <c r="F208" i="25"/>
  <c r="E208" i="25"/>
  <c r="F207" i="25"/>
  <c r="E207" i="25"/>
  <c r="F206" i="25"/>
  <c r="E206" i="25"/>
  <c r="J205" i="25"/>
  <c r="I135" i="31" s="1"/>
  <c r="I205" i="25"/>
  <c r="H135" i="31" s="1"/>
  <c r="H204" i="25"/>
  <c r="E204" i="25"/>
  <c r="F203" i="25"/>
  <c r="E203" i="25"/>
  <c r="H202" i="25"/>
  <c r="F202" i="25" s="1"/>
  <c r="G202" i="25"/>
  <c r="E202" i="25" s="1"/>
  <c r="F201" i="25"/>
  <c r="E201" i="25"/>
  <c r="H200" i="25"/>
  <c r="G200" i="25"/>
  <c r="E200" i="25" s="1"/>
  <c r="F200" i="25"/>
  <c r="F199" i="25"/>
  <c r="E199" i="25"/>
  <c r="J198" i="25"/>
  <c r="F198" i="25" s="1"/>
  <c r="E198" i="25"/>
  <c r="J197" i="25"/>
  <c r="H197" i="25"/>
  <c r="E197" i="25"/>
  <c r="F196" i="25"/>
  <c r="E196" i="25"/>
  <c r="F195" i="25"/>
  <c r="E195" i="25"/>
  <c r="J194" i="25"/>
  <c r="F194" i="25" s="1"/>
  <c r="E194" i="25"/>
  <c r="J193" i="25"/>
  <c r="H193" i="25"/>
  <c r="G126" i="31" s="1"/>
  <c r="G193" i="25"/>
  <c r="F126" i="31" s="1"/>
  <c r="H192" i="25"/>
  <c r="F192" i="25" s="1"/>
  <c r="E192" i="25"/>
  <c r="J191" i="25"/>
  <c r="F191" i="25" s="1"/>
  <c r="E191" i="25"/>
  <c r="J190" i="25"/>
  <c r="E190" i="25"/>
  <c r="F189" i="25"/>
  <c r="E189" i="25"/>
  <c r="J188" i="25"/>
  <c r="I123" i="31" s="1"/>
  <c r="F188" i="25"/>
  <c r="E188" i="25"/>
  <c r="H187" i="25"/>
  <c r="E187" i="25"/>
  <c r="F186" i="25"/>
  <c r="E186" i="25"/>
  <c r="F185" i="25"/>
  <c r="E185" i="25"/>
  <c r="J184" i="25"/>
  <c r="I122" i="31" s="1"/>
  <c r="E184" i="25"/>
  <c r="F183" i="25"/>
  <c r="E183" i="25"/>
  <c r="J182" i="25"/>
  <c r="F182" i="25" s="1"/>
  <c r="E182" i="25"/>
  <c r="J181" i="25"/>
  <c r="H181" i="25"/>
  <c r="E181" i="25"/>
  <c r="J180" i="25"/>
  <c r="I119" i="31" s="1"/>
  <c r="F180" i="25"/>
  <c r="E180" i="25"/>
  <c r="F179" i="25"/>
  <c r="E179" i="25"/>
  <c r="J178" i="25"/>
  <c r="F178" i="25" s="1"/>
  <c r="E178" i="25"/>
  <c r="J177" i="25"/>
  <c r="F177" i="25" s="1"/>
  <c r="E177" i="25"/>
  <c r="L176" i="25"/>
  <c r="L126" i="25" s="1"/>
  <c r="K176" i="25"/>
  <c r="K126" i="25" s="1"/>
  <c r="J176" i="25"/>
  <c r="I176" i="25"/>
  <c r="H176" i="25"/>
  <c r="F176" i="25" s="1"/>
  <c r="F175" i="25"/>
  <c r="E175" i="25"/>
  <c r="J174" i="25"/>
  <c r="I115" i="31" s="1"/>
  <c r="H174" i="25"/>
  <c r="G115" i="31" s="1"/>
  <c r="E174" i="25"/>
  <c r="F173" i="25"/>
  <c r="E173" i="25"/>
  <c r="F172" i="25"/>
  <c r="E172" i="25"/>
  <c r="J171" i="25"/>
  <c r="F171" i="25" s="1"/>
  <c r="E171" i="25"/>
  <c r="J170" i="25"/>
  <c r="I112" i="31" s="1"/>
  <c r="E170" i="25"/>
  <c r="H169" i="25"/>
  <c r="E169" i="25"/>
  <c r="D112" i="31" s="1"/>
  <c r="H168" i="25"/>
  <c r="F168" i="25" s="1"/>
  <c r="E168" i="25"/>
  <c r="J167" i="25"/>
  <c r="I111" i="31" s="1"/>
  <c r="I167" i="25"/>
  <c r="H111" i="31" s="1"/>
  <c r="H166" i="25"/>
  <c r="G166" i="25"/>
  <c r="F111" i="31" s="1"/>
  <c r="E166" i="25"/>
  <c r="J165" i="25"/>
  <c r="H165" i="25"/>
  <c r="E165" i="25"/>
  <c r="J164" i="25"/>
  <c r="I164" i="25"/>
  <c r="E164" i="25" s="1"/>
  <c r="H164" i="25"/>
  <c r="J163" i="25"/>
  <c r="I108" i="31" s="1"/>
  <c r="H163" i="25"/>
  <c r="E163" i="25"/>
  <c r="H162" i="25"/>
  <c r="F162" i="25" s="1"/>
  <c r="G162" i="25"/>
  <c r="E162" i="25" s="1"/>
  <c r="F161" i="25"/>
  <c r="E161" i="25"/>
  <c r="J160" i="25"/>
  <c r="F160" i="25" s="1"/>
  <c r="E160" i="25"/>
  <c r="J159" i="25"/>
  <c r="F159" i="25" s="1"/>
  <c r="E159" i="25"/>
  <c r="J158" i="25"/>
  <c r="F158" i="25" s="1"/>
  <c r="E158" i="25"/>
  <c r="H157" i="25"/>
  <c r="E157" i="25"/>
  <c r="F156" i="25"/>
  <c r="E156" i="25"/>
  <c r="J155" i="25"/>
  <c r="F155" i="25" s="1"/>
  <c r="E155" i="25"/>
  <c r="F154" i="25"/>
  <c r="E154" i="25"/>
  <c r="F153" i="25"/>
  <c r="E153" i="25"/>
  <c r="F152" i="25"/>
  <c r="E152" i="25"/>
  <c r="F151" i="25"/>
  <c r="E151" i="25"/>
  <c r="F150" i="25"/>
  <c r="E150" i="25"/>
  <c r="F149" i="25"/>
  <c r="E149" i="25"/>
  <c r="F148" i="25"/>
  <c r="E148" i="25"/>
  <c r="J147" i="25"/>
  <c r="I97" i="31" s="1"/>
  <c r="E147" i="25"/>
  <c r="F146" i="25"/>
  <c r="E146" i="25"/>
  <c r="F145" i="25"/>
  <c r="E145" i="25"/>
  <c r="J144" i="25"/>
  <c r="F144" i="25" s="1"/>
  <c r="I144" i="25"/>
  <c r="E144" i="25" s="1"/>
  <c r="J143" i="25"/>
  <c r="H143" i="25"/>
  <c r="E143" i="25"/>
  <c r="F142" i="25"/>
  <c r="E142" i="25"/>
  <c r="F141" i="25"/>
  <c r="E141" i="25"/>
  <c r="H140" i="25"/>
  <c r="F140" i="25" s="1"/>
  <c r="E140" i="25"/>
  <c r="H139" i="25"/>
  <c r="F139" i="25" s="1"/>
  <c r="E139" i="25"/>
  <c r="H138" i="25"/>
  <c r="F138" i="25" s="1"/>
  <c r="E138" i="25"/>
  <c r="F137" i="25"/>
  <c r="E137" i="25"/>
  <c r="F136" i="25"/>
  <c r="E136" i="25"/>
  <c r="J135" i="25"/>
  <c r="H135" i="25"/>
  <c r="G90" i="31" s="1"/>
  <c r="E135" i="25"/>
  <c r="J134" i="25"/>
  <c r="E134" i="25"/>
  <c r="J133" i="25"/>
  <c r="F133" i="25" s="1"/>
  <c r="E133" i="25"/>
  <c r="F132" i="25"/>
  <c r="E132" i="25"/>
  <c r="F131" i="25"/>
  <c r="E131" i="25"/>
  <c r="F130" i="25"/>
  <c r="E130" i="25"/>
  <c r="J129" i="25"/>
  <c r="F129" i="25" s="1"/>
  <c r="E129" i="25"/>
  <c r="H128" i="25"/>
  <c r="F128" i="25" s="1"/>
  <c r="E128" i="25"/>
  <c r="F127" i="25"/>
  <c r="E127" i="25"/>
  <c r="I9" i="25"/>
  <c r="K9" i="25"/>
  <c r="F125" i="25"/>
  <c r="E125" i="25"/>
  <c r="F124" i="25"/>
  <c r="E124" i="25"/>
  <c r="F123" i="25"/>
  <c r="E123" i="25"/>
  <c r="F122" i="25"/>
  <c r="E122" i="25"/>
  <c r="J121" i="25"/>
  <c r="H121" i="25"/>
  <c r="E121" i="25"/>
  <c r="J120" i="25"/>
  <c r="F120" i="25" s="1"/>
  <c r="E120" i="25"/>
  <c r="J119" i="25"/>
  <c r="E119" i="25"/>
  <c r="J118" i="25"/>
  <c r="F118" i="25" s="1"/>
  <c r="E118" i="25"/>
  <c r="F117" i="25"/>
  <c r="E117" i="25"/>
  <c r="F116" i="25"/>
  <c r="E116" i="25"/>
  <c r="F115" i="25"/>
  <c r="E115" i="25"/>
  <c r="F114" i="25"/>
  <c r="E114" i="25"/>
  <c r="J113" i="25"/>
  <c r="E113" i="25"/>
  <c r="F112" i="25"/>
  <c r="E112" i="25"/>
  <c r="F111" i="25"/>
  <c r="E111" i="25"/>
  <c r="F110" i="25"/>
  <c r="E110" i="25"/>
  <c r="J109" i="25"/>
  <c r="H109" i="25"/>
  <c r="E109" i="25"/>
  <c r="F108" i="25"/>
  <c r="E108" i="25"/>
  <c r="F107" i="25"/>
  <c r="E107" i="25"/>
  <c r="J106" i="25"/>
  <c r="F106" i="25"/>
  <c r="E106" i="25"/>
  <c r="F105" i="25"/>
  <c r="E105" i="25"/>
  <c r="J104" i="25"/>
  <c r="F104" i="25" s="1"/>
  <c r="E104" i="25"/>
  <c r="J103" i="25"/>
  <c r="F103" i="25" s="1"/>
  <c r="E103" i="25"/>
  <c r="J102" i="25"/>
  <c r="F102" i="25" s="1"/>
  <c r="E102" i="25"/>
  <c r="J101" i="25"/>
  <c r="F101" i="25"/>
  <c r="E101" i="25"/>
  <c r="F100" i="25"/>
  <c r="E100" i="25"/>
  <c r="F99" i="25"/>
  <c r="E99" i="25"/>
  <c r="F98" i="25"/>
  <c r="E98" i="25"/>
  <c r="F97" i="25"/>
  <c r="E97" i="25"/>
  <c r="F96" i="25"/>
  <c r="E96" i="25"/>
  <c r="F95" i="25"/>
  <c r="E95" i="25"/>
  <c r="J94" i="25"/>
  <c r="F94" i="25" s="1"/>
  <c r="E94" i="25"/>
  <c r="J93" i="25"/>
  <c r="F93" i="25" s="1"/>
  <c r="E93" i="25"/>
  <c r="J92" i="25"/>
  <c r="E92" i="25"/>
  <c r="H91" i="25"/>
  <c r="G58" i="31" s="1"/>
  <c r="F91" i="25"/>
  <c r="E91" i="25"/>
  <c r="F90" i="25"/>
  <c r="E90" i="25"/>
  <c r="J89" i="25"/>
  <c r="I56" i="31" s="1"/>
  <c r="E89" i="25"/>
  <c r="H88" i="25"/>
  <c r="E88" i="25"/>
  <c r="D56" i="31" s="1"/>
  <c r="F87" i="25"/>
  <c r="E87" i="25"/>
  <c r="F86" i="25"/>
  <c r="E86" i="25"/>
  <c r="F85" i="25"/>
  <c r="E55" i="31" s="1"/>
  <c r="E85" i="25"/>
  <c r="F84" i="25"/>
  <c r="E84" i="25"/>
  <c r="F83" i="25"/>
  <c r="E83" i="25"/>
  <c r="F82" i="25"/>
  <c r="E82" i="25"/>
  <c r="F81" i="25"/>
  <c r="E81" i="25"/>
  <c r="F80" i="25"/>
  <c r="E80" i="25"/>
  <c r="F79" i="25"/>
  <c r="E79" i="25"/>
  <c r="J78" i="25"/>
  <c r="E78" i="25"/>
  <c r="F77" i="25"/>
  <c r="E77" i="25"/>
  <c r="F76" i="25"/>
  <c r="E76" i="25"/>
  <c r="F75" i="25"/>
  <c r="E75" i="25"/>
  <c r="F74" i="25"/>
  <c r="E74" i="25"/>
  <c r="F73" i="25"/>
  <c r="E73" i="25"/>
  <c r="F72" i="25"/>
  <c r="E72" i="25"/>
  <c r="F71" i="25"/>
  <c r="E71" i="25"/>
  <c r="J70" i="25"/>
  <c r="I45" i="31" s="1"/>
  <c r="F70" i="25"/>
  <c r="E70" i="25"/>
  <c r="H69" i="25"/>
  <c r="F69" i="25" s="1"/>
  <c r="E69" i="25"/>
  <c r="F68" i="25"/>
  <c r="E68" i="25"/>
  <c r="H67" i="25"/>
  <c r="G45" i="31" s="1"/>
  <c r="E67" i="25"/>
  <c r="J66" i="25"/>
  <c r="I44" i="31" s="1"/>
  <c r="E66" i="25"/>
  <c r="H65" i="25"/>
  <c r="G44" i="31" s="1"/>
  <c r="F65" i="25"/>
  <c r="E65" i="25"/>
  <c r="H64" i="25"/>
  <c r="E64" i="25"/>
  <c r="F63" i="25"/>
  <c r="E63" i="25"/>
  <c r="J62" i="25"/>
  <c r="F62" i="25" s="1"/>
  <c r="E62" i="25"/>
  <c r="J61" i="25"/>
  <c r="H61" i="25"/>
  <c r="G61" i="25"/>
  <c r="E61" i="25" s="1"/>
  <c r="H60" i="25"/>
  <c r="F60" i="25" s="1"/>
  <c r="E60" i="25"/>
  <c r="H59" i="25"/>
  <c r="E59" i="25"/>
  <c r="F58" i="25"/>
  <c r="E58" i="25"/>
  <c r="F57" i="25"/>
  <c r="E57" i="25"/>
  <c r="F56" i="25"/>
  <c r="E56" i="25"/>
  <c r="F55" i="25"/>
  <c r="E55" i="25"/>
  <c r="F54" i="25"/>
  <c r="E54" i="25"/>
  <c r="F53" i="25"/>
  <c r="E53" i="25"/>
  <c r="H52" i="25"/>
  <c r="F52" i="25"/>
  <c r="E52" i="25"/>
  <c r="F51" i="25"/>
  <c r="E51" i="25"/>
  <c r="H50" i="25"/>
  <c r="F50" i="25" s="1"/>
  <c r="G50" i="25"/>
  <c r="E50" i="25" s="1"/>
  <c r="F49" i="25"/>
  <c r="E49" i="25"/>
  <c r="J48" i="25"/>
  <c r="F48" i="25" s="1"/>
  <c r="E48" i="25"/>
  <c r="F47" i="25"/>
  <c r="E47" i="25"/>
  <c r="H46" i="25"/>
  <c r="G31" i="31" s="1"/>
  <c r="E46" i="25"/>
  <c r="F45" i="25"/>
  <c r="E45" i="25"/>
  <c r="F44" i="25"/>
  <c r="E44" i="25"/>
  <c r="F43" i="25"/>
  <c r="E43" i="25"/>
  <c r="F42" i="25"/>
  <c r="E42" i="25"/>
  <c r="F41" i="25"/>
  <c r="E41" i="25"/>
  <c r="F40" i="25"/>
  <c r="E40" i="25"/>
  <c r="H39" i="25"/>
  <c r="G27" i="31" s="1"/>
  <c r="E39" i="25"/>
  <c r="F38" i="25"/>
  <c r="E38" i="25"/>
  <c r="F37" i="25"/>
  <c r="E37" i="25"/>
  <c r="H36" i="25"/>
  <c r="F36" i="25" s="1"/>
  <c r="E36" i="25"/>
  <c r="F35" i="25"/>
  <c r="E35" i="25"/>
  <c r="H34" i="25"/>
  <c r="F34" i="25"/>
  <c r="E34" i="25"/>
  <c r="H33" i="25"/>
  <c r="E33" i="25"/>
  <c r="F32" i="25"/>
  <c r="E32" i="25"/>
  <c r="F31" i="25"/>
  <c r="E31" i="25"/>
  <c r="J30" i="25"/>
  <c r="F30" i="25" s="1"/>
  <c r="E30" i="25"/>
  <c r="J29" i="25"/>
  <c r="H29" i="25"/>
  <c r="G20" i="31" s="1"/>
  <c r="E29" i="25"/>
  <c r="F28" i="25"/>
  <c r="E28" i="25"/>
  <c r="F27" i="25"/>
  <c r="E27" i="25"/>
  <c r="F26" i="25"/>
  <c r="E26" i="25"/>
  <c r="F25" i="25"/>
  <c r="E25" i="25"/>
  <c r="H24" i="25"/>
  <c r="G17" i="31" s="1"/>
  <c r="E24" i="25"/>
  <c r="F23" i="25"/>
  <c r="E23" i="25"/>
  <c r="J22" i="25"/>
  <c r="F22" i="25" s="1"/>
  <c r="E22" i="25"/>
  <c r="J21" i="25"/>
  <c r="E21" i="25"/>
  <c r="F20" i="25"/>
  <c r="E20" i="25"/>
  <c r="F19" i="25"/>
  <c r="E19" i="25"/>
  <c r="F18" i="25"/>
  <c r="E18" i="25"/>
  <c r="J17" i="25"/>
  <c r="I14" i="31" s="1"/>
  <c r="E17" i="25"/>
  <c r="F16" i="25"/>
  <c r="E16" i="25"/>
  <c r="J15" i="25"/>
  <c r="H15" i="25"/>
  <c r="F15" i="25" s="1"/>
  <c r="E15" i="25"/>
  <c r="F14" i="25"/>
  <c r="E14" i="25"/>
  <c r="F13" i="25"/>
  <c r="E12" i="31" s="1"/>
  <c r="E13" i="25"/>
  <c r="L10" i="25"/>
  <c r="L9" i="25" s="1"/>
  <c r="H10" i="25"/>
  <c r="F10" i="25" s="1"/>
  <c r="E10" i="25"/>
  <c r="V4" i="25"/>
  <c r="D20" i="31" l="1"/>
  <c r="F61" i="25"/>
  <c r="D108" i="31"/>
  <c r="F197" i="25"/>
  <c r="D168" i="31"/>
  <c r="E120" i="31"/>
  <c r="D44" i="31"/>
  <c r="D30" i="31"/>
  <c r="F147" i="25"/>
  <c r="F174" i="25"/>
  <c r="F181" i="25"/>
  <c r="D122" i="31"/>
  <c r="E147" i="31"/>
  <c r="D159" i="31"/>
  <c r="F264" i="25"/>
  <c r="E168" i="31" s="1"/>
  <c r="E299" i="25"/>
  <c r="E283" i="25" s="1"/>
  <c r="D205" i="31"/>
  <c r="E13" i="31"/>
  <c r="F39" i="25"/>
  <c r="F89" i="25"/>
  <c r="E92" i="31"/>
  <c r="I16" i="31"/>
  <c r="D21" i="31"/>
  <c r="E59" i="31"/>
  <c r="D95" i="31"/>
  <c r="E176" i="25"/>
  <c r="D124" i="31"/>
  <c r="D158" i="31"/>
  <c r="E186" i="31"/>
  <c r="E202" i="31"/>
  <c r="F170" i="25"/>
  <c r="E193" i="25"/>
  <c r="D126" i="31" s="1"/>
  <c r="I142" i="31"/>
  <c r="H171" i="31"/>
  <c r="F304" i="25"/>
  <c r="E188" i="31" s="1"/>
  <c r="F311" i="25"/>
  <c r="E195" i="31" s="1"/>
  <c r="D197" i="31"/>
  <c r="F340" i="25"/>
  <c r="E213" i="31" s="1"/>
  <c r="D231" i="31"/>
  <c r="D229" i="31" s="1"/>
  <c r="E209" i="31"/>
  <c r="E41" i="31"/>
  <c r="E116" i="31"/>
  <c r="E72" i="31"/>
  <c r="E10" i="31"/>
  <c r="E109" i="31"/>
  <c r="E110" i="31"/>
  <c r="D116" i="31"/>
  <c r="E129" i="31"/>
  <c r="F9" i="31"/>
  <c r="E142" i="31"/>
  <c r="E82" i="31"/>
  <c r="K8" i="31"/>
  <c r="E180" i="31"/>
  <c r="D184" i="31"/>
  <c r="D212" i="31"/>
  <c r="I126" i="31"/>
  <c r="D15" i="31"/>
  <c r="I20" i="31"/>
  <c r="E21" i="31"/>
  <c r="D39" i="31"/>
  <c r="D40" i="31"/>
  <c r="D84" i="31"/>
  <c r="D90" i="31"/>
  <c r="F135" i="25"/>
  <c r="E97" i="31"/>
  <c r="G111" i="31"/>
  <c r="D119" i="31"/>
  <c r="E213" i="25"/>
  <c r="E150" i="31"/>
  <c r="F245" i="25"/>
  <c r="E158" i="31" s="1"/>
  <c r="F250" i="25"/>
  <c r="E160" i="31" s="1"/>
  <c r="E161" i="31"/>
  <c r="D166" i="31"/>
  <c r="D12" i="31"/>
  <c r="D14" i="31"/>
  <c r="E15" i="31"/>
  <c r="G22" i="31"/>
  <c r="D27" i="31"/>
  <c r="F46" i="25"/>
  <c r="E31" i="31" s="1"/>
  <c r="E39" i="31"/>
  <c r="E51" i="31"/>
  <c r="E54" i="31"/>
  <c r="D55" i="31"/>
  <c r="F109" i="25"/>
  <c r="F121" i="25"/>
  <c r="E84" i="31"/>
  <c r="E100" i="31"/>
  <c r="F163" i="25"/>
  <c r="E108" i="31" s="1"/>
  <c r="F165" i="25"/>
  <c r="E167" i="25"/>
  <c r="D111" i="31" s="1"/>
  <c r="F184" i="25"/>
  <c r="E122" i="31" s="1"/>
  <c r="F205" i="25"/>
  <c r="F243" i="25"/>
  <c r="E156" i="31" s="1"/>
  <c r="D164" i="31"/>
  <c r="D175" i="31"/>
  <c r="D185" i="31"/>
  <c r="D187" i="31"/>
  <c r="E331" i="25"/>
  <c r="F338" i="25"/>
  <c r="E212" i="31" s="1"/>
  <c r="E215" i="31"/>
  <c r="E9" i="25"/>
  <c r="G104" i="31"/>
  <c r="F157" i="25"/>
  <c r="E104" i="31" s="1"/>
  <c r="G123" i="31"/>
  <c r="F187" i="25"/>
  <c r="E123" i="31" s="1"/>
  <c r="G135" i="31"/>
  <c r="F204" i="25"/>
  <c r="E135" i="31" s="1"/>
  <c r="H156" i="31"/>
  <c r="E243" i="25"/>
  <c r="I159" i="31"/>
  <c r="F247" i="25"/>
  <c r="E159" i="31" s="1"/>
  <c r="G187" i="31"/>
  <c r="F300" i="25"/>
  <c r="E187" i="31" s="1"/>
  <c r="I205" i="31"/>
  <c r="R3" i="31" s="1"/>
  <c r="F328" i="25"/>
  <c r="E205" i="31" s="1"/>
  <c r="D16" i="31"/>
  <c r="D22" i="31"/>
  <c r="E27" i="31"/>
  <c r="I75" i="31"/>
  <c r="F113" i="25"/>
  <c r="E75" i="31" s="1"/>
  <c r="D81" i="31"/>
  <c r="I90" i="31"/>
  <c r="F134" i="25"/>
  <c r="E90" i="31" s="1"/>
  <c r="E149" i="31"/>
  <c r="I152" i="31"/>
  <c r="F234" i="25"/>
  <c r="I198" i="31"/>
  <c r="F318" i="25"/>
  <c r="H331" i="25"/>
  <c r="F332" i="25"/>
  <c r="F331" i="25" s="1"/>
  <c r="I217" i="31"/>
  <c r="I208" i="31" s="1"/>
  <c r="F346" i="25"/>
  <c r="H9" i="25"/>
  <c r="F21" i="25"/>
  <c r="E16" i="31" s="1"/>
  <c r="D17" i="31"/>
  <c r="F29" i="25"/>
  <c r="E20" i="31" s="1"/>
  <c r="F33" i="25"/>
  <c r="E22" i="31" s="1"/>
  <c r="E30" i="31"/>
  <c r="D37" i="31"/>
  <c r="G43" i="31"/>
  <c r="F64" i="25"/>
  <c r="E43" i="31" s="1"/>
  <c r="F67" i="25"/>
  <c r="E45" i="31" s="1"/>
  <c r="I50" i="31"/>
  <c r="F78" i="25"/>
  <c r="I58" i="31"/>
  <c r="F92" i="25"/>
  <c r="E58" i="31" s="1"/>
  <c r="D75" i="31"/>
  <c r="I81" i="31"/>
  <c r="F119" i="25"/>
  <c r="E81" i="31" s="1"/>
  <c r="E88" i="31"/>
  <c r="E96" i="31"/>
  <c r="D100" i="31"/>
  <c r="E105" i="31"/>
  <c r="G112" i="31"/>
  <c r="F169" i="25"/>
  <c r="F193" i="25"/>
  <c r="E126" i="31" s="1"/>
  <c r="D148" i="31"/>
  <c r="E152" i="31"/>
  <c r="E166" i="31"/>
  <c r="I169" i="31"/>
  <c r="F267" i="25"/>
  <c r="E171" i="31"/>
  <c r="E184" i="31"/>
  <c r="I185" i="31"/>
  <c r="F296" i="25"/>
  <c r="E197" i="31"/>
  <c r="D198" i="31"/>
  <c r="D217" i="31"/>
  <c r="I224" i="31"/>
  <c r="I222" i="31" s="1"/>
  <c r="F355" i="25"/>
  <c r="F352" i="25" s="1"/>
  <c r="I231" i="31"/>
  <c r="I229" i="31" s="1"/>
  <c r="F365" i="25"/>
  <c r="E231" i="31" s="1"/>
  <c r="L8" i="25"/>
  <c r="J9" i="25"/>
  <c r="F17" i="25"/>
  <c r="F24" i="25"/>
  <c r="E17" i="31" s="1"/>
  <c r="G40" i="31"/>
  <c r="F59" i="25"/>
  <c r="E40" i="31" s="1"/>
  <c r="D43" i="31"/>
  <c r="F66" i="25"/>
  <c r="E44" i="31" s="1"/>
  <c r="D48" i="31"/>
  <c r="D49" i="31"/>
  <c r="D50" i="31"/>
  <c r="G56" i="31"/>
  <c r="F88" i="25"/>
  <c r="E65" i="31"/>
  <c r="E87" i="31"/>
  <c r="G95" i="31"/>
  <c r="F143" i="25"/>
  <c r="E95" i="31" s="1"/>
  <c r="F164" i="25"/>
  <c r="F166" i="25"/>
  <c r="F167" i="25"/>
  <c r="E115" i="31"/>
  <c r="E119" i="31"/>
  <c r="I124" i="31"/>
  <c r="F190" i="25"/>
  <c r="E124" i="31" s="1"/>
  <c r="I148" i="31"/>
  <c r="F223" i="25"/>
  <c r="E148" i="31" s="1"/>
  <c r="F240" i="25"/>
  <c r="E155" i="31" s="1"/>
  <c r="E164" i="31"/>
  <c r="G167" i="31"/>
  <c r="F263" i="25"/>
  <c r="E167" i="31" s="1"/>
  <c r="D169" i="31"/>
  <c r="E175" i="31"/>
  <c r="D181" i="31"/>
  <c r="D182" i="31"/>
  <c r="F325" i="25"/>
  <c r="D224" i="31"/>
  <c r="D222" i="31" s="1"/>
  <c r="F363" i="25"/>
  <c r="D31" i="31"/>
  <c r="G9" i="25"/>
  <c r="E37" i="31"/>
  <c r="D45" i="31"/>
  <c r="E48" i="31"/>
  <c r="E49" i="31"/>
  <c r="E50" i="31"/>
  <c r="D51" i="31"/>
  <c r="D54" i="31"/>
  <c r="D58" i="31"/>
  <c r="I59" i="31"/>
  <c r="D87" i="31"/>
  <c r="D88" i="31"/>
  <c r="G92" i="31"/>
  <c r="D96" i="31"/>
  <c r="D97" i="31"/>
  <c r="D104" i="31"/>
  <c r="I105" i="31"/>
  <c r="G108" i="31"/>
  <c r="D115" i="31"/>
  <c r="D123" i="31"/>
  <c r="E205" i="25"/>
  <c r="D135" i="31" s="1"/>
  <c r="I149" i="31"/>
  <c r="D150" i="31"/>
  <c r="D156" i="31"/>
  <c r="E250" i="25"/>
  <c r="D160" i="31" s="1"/>
  <c r="D161" i="31"/>
  <c r="D180" i="31"/>
  <c r="E181" i="31"/>
  <c r="E182" i="31"/>
  <c r="F295" i="25"/>
  <c r="G186" i="31"/>
  <c r="D188" i="31"/>
  <c r="D195" i="31"/>
  <c r="E198" i="31"/>
  <c r="D210" i="31"/>
  <c r="D213" i="31"/>
  <c r="E352" i="25"/>
  <c r="J363" i="25"/>
  <c r="D59" i="31"/>
  <c r="D65" i="31"/>
  <c r="I65" i="31"/>
  <c r="E126" i="25"/>
  <c r="D92" i="31"/>
  <c r="I95" i="31"/>
  <c r="D105" i="31"/>
  <c r="D142" i="31"/>
  <c r="D147" i="31"/>
  <c r="D149" i="31"/>
  <c r="D152" i="31"/>
  <c r="D167" i="31"/>
  <c r="E169" i="31"/>
  <c r="I171" i="31"/>
  <c r="G188" i="31"/>
  <c r="J331" i="25"/>
  <c r="G208" i="31"/>
  <c r="D215" i="31"/>
  <c r="E217" i="31"/>
  <c r="J352" i="25"/>
  <c r="E363" i="25"/>
  <c r="D155" i="31"/>
  <c r="H126" i="25"/>
  <c r="G87" i="31"/>
  <c r="J126" i="25"/>
  <c r="I87" i="31"/>
  <c r="I126" i="25"/>
  <c r="H95" i="31"/>
  <c r="H85" i="31" s="1"/>
  <c r="G126" i="25"/>
  <c r="F108" i="31"/>
  <c r="F85" i="31" s="1"/>
  <c r="E215" i="25"/>
  <c r="D145" i="31"/>
  <c r="E145" i="31"/>
  <c r="J215" i="25"/>
  <c r="I147" i="31"/>
  <c r="I215" i="25"/>
  <c r="H149" i="31"/>
  <c r="H215" i="25"/>
  <c r="G152" i="31"/>
  <c r="D171" i="31"/>
  <c r="J283" i="25"/>
  <c r="I180" i="31"/>
  <c r="H283" i="25"/>
  <c r="G184" i="31"/>
  <c r="G283" i="25"/>
  <c r="F185" i="31"/>
  <c r="F178" i="31" s="1"/>
  <c r="G331" i="25"/>
  <c r="F213" i="31"/>
  <c r="F208" i="31" s="1"/>
  <c r="K331" i="25"/>
  <c r="K8" i="25" s="1"/>
  <c r="J213" i="31"/>
  <c r="E349" i="25"/>
  <c r="D221" i="31"/>
  <c r="D220" i="31" s="1"/>
  <c r="F349" i="25"/>
  <c r="E221" i="31"/>
  <c r="I352" i="25"/>
  <c r="H224" i="31"/>
  <c r="H222" i="31" s="1"/>
  <c r="E357" i="25"/>
  <c r="D226" i="31"/>
  <c r="D225" i="31" s="1"/>
  <c r="F357" i="25"/>
  <c r="E226" i="31"/>
  <c r="J357" i="25"/>
  <c r="I226" i="31"/>
  <c r="I225" i="31" s="1"/>
  <c r="E360" i="25"/>
  <c r="D228" i="31"/>
  <c r="D227" i="31" s="1"/>
  <c r="F360" i="25"/>
  <c r="E228" i="31"/>
  <c r="J360" i="25"/>
  <c r="I228" i="31"/>
  <c r="I227" i="31" s="1"/>
  <c r="E229" i="31"/>
  <c r="D186" i="31" l="1"/>
  <c r="E56" i="31"/>
  <c r="E224" i="31"/>
  <c r="E185" i="31"/>
  <c r="E112" i="31"/>
  <c r="G178" i="31"/>
  <c r="E208" i="31"/>
  <c r="F215" i="25"/>
  <c r="F9" i="25"/>
  <c r="F126" i="25"/>
  <c r="H144" i="31"/>
  <c r="H8" i="31" s="1"/>
  <c r="I85" i="31"/>
  <c r="I9" i="31"/>
  <c r="I178" i="31"/>
  <c r="G9" i="31"/>
  <c r="G144" i="31"/>
  <c r="I144" i="31"/>
  <c r="G85" i="31"/>
  <c r="D9" i="31"/>
  <c r="D208" i="31"/>
  <c r="D85" i="31"/>
  <c r="E111" i="31"/>
  <c r="E203" i="31"/>
  <c r="D178" i="31"/>
  <c r="F283" i="25"/>
  <c r="E14" i="31"/>
  <c r="E227" i="31"/>
  <c r="E225" i="31"/>
  <c r="E220" i="31"/>
  <c r="J208" i="31"/>
  <c r="J8" i="31" s="1"/>
  <c r="S4" i="31"/>
  <c r="E144" i="31"/>
  <c r="D144" i="31"/>
  <c r="E8" i="25"/>
  <c r="F8" i="31"/>
  <c r="G8" i="25"/>
  <c r="I8" i="25"/>
  <c r="J8" i="25"/>
  <c r="H8" i="25"/>
  <c r="F8" i="25" l="1"/>
  <c r="E222" i="31"/>
  <c r="G8" i="31"/>
  <c r="I8" i="31"/>
  <c r="D8" i="31"/>
  <c r="E9" i="31"/>
  <c r="E85" i="31"/>
  <c r="E178" i="31"/>
  <c r="E8" i="31" l="1"/>
</calcChain>
</file>

<file path=xl/comments1.xml><?xml version="1.0" encoding="utf-8"?>
<comments xmlns="http://schemas.openxmlformats.org/spreadsheetml/2006/main">
  <authors>
    <author>SP</author>
  </authors>
  <commentList>
    <comment ref="G86" authorId="0">
      <text>
        <r>
          <rPr>
            <b/>
            <sz val="9"/>
            <rFont val="Tahoma"/>
            <family val="2"/>
          </rPr>
          <t>SP:</t>
        </r>
        <r>
          <rPr>
            <sz val="9"/>
            <rFont val="Tahoma"/>
            <family val="2"/>
          </rPr>
          <t xml:space="preserve">
</t>
        </r>
      </text>
    </comment>
  </commentList>
</comments>
</file>

<file path=xl/comments2.xml><?xml version="1.0" encoding="utf-8"?>
<comments xmlns="http://schemas.openxmlformats.org/spreadsheetml/2006/main">
  <authors>
    <author>SP</author>
  </authors>
  <commentList>
    <comment ref="H127" authorId="0">
      <text>
        <r>
          <rPr>
            <b/>
            <sz val="9"/>
            <rFont val="Tahoma"/>
            <family val="2"/>
          </rPr>
          <t>SP:</t>
        </r>
        <r>
          <rPr>
            <sz val="9"/>
            <rFont val="Tahoma"/>
            <family val="2"/>
          </rPr>
          <t xml:space="preserve">
</t>
        </r>
      </text>
    </comment>
  </commentList>
</comments>
</file>

<file path=xl/sharedStrings.xml><?xml version="1.0" encoding="utf-8"?>
<sst xmlns="http://schemas.openxmlformats.org/spreadsheetml/2006/main" count="2034" uniqueCount="365">
  <si>
    <t>TT</t>
  </si>
  <si>
    <t>Ghi chú</t>
  </si>
  <si>
    <t>Ngày tiêu hủy lợn</t>
  </si>
  <si>
    <t>Thôn</t>
  </si>
  <si>
    <t>Chủ hộ</t>
  </si>
  <si>
    <t xml:space="preserve">Trong đó lợn nái, lợn đực giống, lợn thịt, lợn con theo mẹ mắc bệnh, buộc tiêu hủy </t>
  </si>
  <si>
    <t>Số con</t>
  </si>
  <si>
    <t>Trọng lượng tiêu hủy (kg)</t>
  </si>
  <si>
    <t>Số lợn nái, lợn đực giống (con)</t>
  </si>
  <si>
    <t>Trọng lượng nái  (kg)</t>
  </si>
  <si>
    <t>Số lợn thịt (con)</t>
  </si>
  <si>
    <t>Trọng lượng thịt (kg)</t>
  </si>
  <si>
    <t>Số lợn con theo mẹ (con)</t>
  </si>
  <si>
    <t>Trọng lượng lợn con (kg)</t>
  </si>
  <si>
    <t>TỔNG CỘNG</t>
  </si>
  <si>
    <t>20/7/2025</t>
  </si>
  <si>
    <t>Tích Tường</t>
  </si>
  <si>
    <t>Nguyễn Ngọc Việt</t>
  </si>
  <si>
    <t>Tân Mỹ</t>
  </si>
  <si>
    <t>Hồ Thị Hoa</t>
  </si>
  <si>
    <t>21/7/2025</t>
  </si>
  <si>
    <t>Khu phố 3, P. An Đôn cũ</t>
  </si>
  <si>
    <t>Nguyễn Phúc</t>
  </si>
  <si>
    <t>22/7/2025</t>
  </si>
  <si>
    <t>Như Lệ</t>
  </si>
  <si>
    <t>Ngô Thương</t>
  </si>
  <si>
    <t>Nguyễn Hữu Lĩnh</t>
  </si>
  <si>
    <t>Nguyễn Thành (Đ 3)</t>
  </si>
  <si>
    <t>Hồ Thuận</t>
  </si>
  <si>
    <t>Phan Quang Trung</t>
  </si>
  <si>
    <t>Nguyễn Thị Thương</t>
  </si>
  <si>
    <t>Nguyễn Thị Tuyết Mộng</t>
  </si>
  <si>
    <t>23/7/2025</t>
  </si>
  <si>
    <t>Phan Ất</t>
  </si>
  <si>
    <t>Bùi Văn Nhân</t>
  </si>
  <si>
    <t>Nguyễn Thị Thu Phương</t>
  </si>
  <si>
    <t>Phan Văn Cường</t>
  </si>
  <si>
    <t>Phan Thị Thăn</t>
  </si>
  <si>
    <t>Nguyễn Thị Lan</t>
  </si>
  <si>
    <t>Ngô Thị Phúc</t>
  </si>
  <si>
    <t>Phạm Bá Quang</t>
  </si>
  <si>
    <t>Đinh Công Nguyên</t>
  </si>
  <si>
    <t>24/7/2025</t>
  </si>
  <si>
    <t>Ngô Văn Ty</t>
  </si>
  <si>
    <t>Phan Anh Hùng</t>
  </si>
  <si>
    <t>Tân Phước</t>
  </si>
  <si>
    <t>Hồ Sỹ Hợi</t>
  </si>
  <si>
    <t>Khu phố 1, P. An Đôn</t>
  </si>
  <si>
    <t>Phạm Văn Kế</t>
  </si>
  <si>
    <t>Ngô Thị Lữ</t>
  </si>
  <si>
    <t>25/7/2025</t>
  </si>
  <si>
    <t>Đinh Ngọc Hồi</t>
  </si>
  <si>
    <t>Phạm Bá Chung</t>
  </si>
  <si>
    <t>Ngô Thị Ái Nhi</t>
  </si>
  <si>
    <t>Nguyễn Thị Trinh</t>
  </si>
  <si>
    <t>Nguyễn Thị Lệ</t>
  </si>
  <si>
    <t>Nguyễn Thị Rạng</t>
  </si>
  <si>
    <t>Trần Thị Lài</t>
  </si>
  <si>
    <t>Nguyễn Thành</t>
  </si>
  <si>
    <t>Hồ Thuyết</t>
  </si>
  <si>
    <t>Nguyễn Thái Thu Hiền</t>
  </si>
  <si>
    <t>26/7/2025</t>
  </si>
  <si>
    <t>Ngô Thị Vui</t>
  </si>
  <si>
    <t>Ngô Thị Phụng</t>
  </si>
  <si>
    <t>Ngô Thị Lành</t>
  </si>
  <si>
    <t>Nguyễn Quang Huy</t>
  </si>
  <si>
    <t>Nguyễn Quốc Thụy</t>
  </si>
  <si>
    <t>Võ Văn Trung</t>
  </si>
  <si>
    <t>Nguyễn Văn Hắc</t>
  </si>
  <si>
    <t>Nguyễn Thị Kim Phượng</t>
  </si>
  <si>
    <t>Nguyễn Xuân Thỉ</t>
  </si>
  <si>
    <t>Nguyễn Thị Tuyết</t>
  </si>
  <si>
    <t>Nguyễn Văn Phúc</t>
  </si>
  <si>
    <t>27/7/2025</t>
  </si>
  <si>
    <t>Ngô Thị Oanh</t>
  </si>
  <si>
    <t>Đinh Văn Phong</t>
  </si>
  <si>
    <t>Ngô Thị Tâm</t>
  </si>
  <si>
    <t>Nguyễn Thị Hoa</t>
  </si>
  <si>
    <t>Ngô Thạnh</t>
  </si>
  <si>
    <t>Ngô Trọng Diến</t>
  </si>
  <si>
    <t>Nguyễn Thị Phê</t>
  </si>
  <si>
    <t>Nguyễn Minh Chính</t>
  </si>
  <si>
    <t>Nguyễn Minh Hải (Đ 3)</t>
  </si>
  <si>
    <t>Nguyễn Thủ</t>
  </si>
  <si>
    <t>Hồ Hoài Linh</t>
  </si>
  <si>
    <t>Hồ Thị Tích</t>
  </si>
  <si>
    <t>28/7/2025</t>
  </si>
  <si>
    <t>Hồ Thị Thúy</t>
  </si>
  <si>
    <t>Ngô Lễ</t>
  </si>
  <si>
    <t>Hồ Thị Tuyến</t>
  </si>
  <si>
    <t>Ngô Minh Tiến</t>
  </si>
  <si>
    <t>Đặng Kim Ngọc</t>
  </si>
  <si>
    <t>Đinh Thị Hương</t>
  </si>
  <si>
    <t>Hồ Thị Nhung</t>
  </si>
  <si>
    <t>Nguyễn Văn Ái</t>
  </si>
  <si>
    <t>29/7/2025</t>
  </si>
  <si>
    <t>Nguyễn Đức Huyền</t>
  </si>
  <si>
    <t>Nguyễn Thị Kim Quy</t>
  </si>
  <si>
    <t>Đinh Ngọc Hùng</t>
  </si>
  <si>
    <t>Nguyễn Thị Huệ</t>
  </si>
  <si>
    <t>Trần Thị Khuyên</t>
  </si>
  <si>
    <t>Đinh Ngọc Thịnh</t>
  </si>
  <si>
    <t>Phạm Cường</t>
  </si>
  <si>
    <t>Ngô Thị Duyên</t>
  </si>
  <si>
    <t>Nguyễn Thái Lâm</t>
  </si>
  <si>
    <t>Hồ Kỳ</t>
  </si>
  <si>
    <t>Ngô Thị Quý</t>
  </si>
  <si>
    <t>Nguyễn Thị Thảnh</t>
  </si>
  <si>
    <t>30/7/2025</t>
  </si>
  <si>
    <t>Võ Thị Thuận</t>
  </si>
  <si>
    <t>Ngô Thị Tưởng</t>
  </si>
  <si>
    <t>Lê Thị Khương</t>
  </si>
  <si>
    <t>Hồ Thị Trang</t>
  </si>
  <si>
    <t>Hà Bắc</t>
  </si>
  <si>
    <t>Nguyễn Thị Minh</t>
  </si>
  <si>
    <t>Hoàng Thị Long Vỹ</t>
  </si>
  <si>
    <t>Khu phố 5, phường 2</t>
  </si>
  <si>
    <t>Lê Thị Thu Trang</t>
  </si>
  <si>
    <t>31/7/2025</t>
  </si>
  <si>
    <t>Nguyễn Tuần</t>
  </si>
  <si>
    <t>Nguyễn Sáng</t>
  </si>
  <si>
    <t>Nguyễn Thanh (Đ 2)</t>
  </si>
  <si>
    <t>Nguyễn Văn Khánh (Đ 3)</t>
  </si>
  <si>
    <t>Nguyễn Thị Tuyên (Đ 6)</t>
  </si>
  <si>
    <t>Nguyễn Thị Thu Hà (Đ 6)</t>
  </si>
  <si>
    <t>Nguyễn Văn Dõ</t>
  </si>
  <si>
    <t>Bùi Xuân Hiệu</t>
  </si>
  <si>
    <t>Nguyễn Thị Phận</t>
  </si>
  <si>
    <t>Hồ Văn Quý</t>
  </si>
  <si>
    <t>Hồ Thị Nga</t>
  </si>
  <si>
    <t>Ngô Thị Yến</t>
  </si>
  <si>
    <t>Ngô Thị Liên</t>
  </si>
  <si>
    <t>Hồ Thị Hòa (Đ 4)</t>
  </si>
  <si>
    <t>Ngô Thị Tâm (Đ 4)</t>
  </si>
  <si>
    <t>Hoàng Thị Hoài (Đ 4)</t>
  </si>
  <si>
    <t>Ngô Thị Huệ (Đ 4)</t>
  </si>
  <si>
    <t>Phan Thị Cúc</t>
  </si>
  <si>
    <t>Nguyễn Phiệt</t>
  </si>
  <si>
    <t>Nguyễn Thị Noãn</t>
  </si>
  <si>
    <t>Ngô Bá Vương</t>
  </si>
  <si>
    <t>Khu phố 3, phường 1</t>
  </si>
  <si>
    <t>Hoàng Thị Giỏ</t>
  </si>
  <si>
    <t>Đinh Ngọc Dũng</t>
  </si>
  <si>
    <t>Đinh Thị Nga</t>
  </si>
  <si>
    <t>Đinh Thị Lam</t>
  </si>
  <si>
    <t>Nguyễn Văn Cánh</t>
  </si>
  <si>
    <t>Nguyễn Thị Huế (Đ 5)</t>
  </si>
  <si>
    <t>Bùi Thị Thảo</t>
  </si>
  <si>
    <t>Ngô Thị Chung</t>
  </si>
  <si>
    <t>Nguyễn Xuân Khánh</t>
  </si>
  <si>
    <t>Lê Thị Kim Liên</t>
  </si>
  <si>
    <t>Đoàn Thị Lam Truyền</t>
  </si>
  <si>
    <t>Hồ Thị Kiều</t>
  </si>
  <si>
    <t>Lê Thị Diễm</t>
  </si>
  <si>
    <t>Nguyễn Văn Thùy</t>
  </si>
  <si>
    <t>Tân phước</t>
  </si>
  <si>
    <t>Võ Minh Đông</t>
  </si>
  <si>
    <t>Ngô Thị Hương (Đ 4)</t>
  </si>
  <si>
    <t>Nguyễn Ty</t>
  </si>
  <si>
    <t>Phạm Thị Mến (Đ 6)</t>
  </si>
  <si>
    <t>Khu phố 8, phường 3</t>
  </si>
  <si>
    <t>Phạm Thị Kim Lành</t>
  </si>
  <si>
    <t>Nguyễn Thị Đào (Đ 2)</t>
  </si>
  <si>
    <t>Nguyễn Thị Hoàng Hà (Đ 2)</t>
  </si>
  <si>
    <t>Nguyễn Văn Thanh (Đ 3)</t>
  </si>
  <si>
    <t>Ngô Thị Thanh Phong (đ 2)</t>
  </si>
  <si>
    <t>Bùi Thị Thơm</t>
  </si>
  <si>
    <t>Lê Thị Ninh</t>
  </si>
  <si>
    <t>Nguyễn Thị Hiệp</t>
  </si>
  <si>
    <t>Phạm Thị Rạng</t>
  </si>
  <si>
    <t>Nguyễn Thị Tuyết (Đ 6)</t>
  </si>
  <si>
    <t>Bá Thị Thanh (Đ 5)</t>
  </si>
  <si>
    <t>Nguyễn Minh Tiến (Đ 5)</t>
  </si>
  <si>
    <t>Nguyễn Thị Liên (Đ 2)</t>
  </si>
  <si>
    <t>Nguyễn Thị Nữ (Đ 3)</t>
  </si>
  <si>
    <t>Nguyễn Lịch (Đ 5)</t>
  </si>
  <si>
    <t>Ngô Minh Đức</t>
  </si>
  <si>
    <t>Nguyễn Thị Thiệp</t>
  </si>
  <si>
    <t>Nguyễn Lành</t>
  </si>
  <si>
    <t>02 trại</t>
  </si>
  <si>
    <t>Dương Thị Lan</t>
  </si>
  <si>
    <t>Nguyễn Văn Dương</t>
  </si>
  <si>
    <t>Nguyễn Thạch (Hồ Thị Phương)</t>
  </si>
  <si>
    <t>Nguyễn Xuân Bột</t>
  </si>
  <si>
    <t>Nguyễn Thanh Bình</t>
  </si>
  <si>
    <t>Trương Đình Thi</t>
  </si>
  <si>
    <t>Nguyễn Thị Xuân (Đ 1)</t>
  </si>
  <si>
    <t>Trương Thị Hồng Loan</t>
  </si>
  <si>
    <t>Nguyễn Thị Gẫm</t>
  </si>
  <si>
    <t>Lê Thiện Chiến</t>
  </si>
  <si>
    <t>Hồ Văn Vinh</t>
  </si>
  <si>
    <t>Phạm Tiến</t>
  </si>
  <si>
    <t>Nguyễn Văn Sang</t>
  </si>
  <si>
    <t>Võ Quyết</t>
  </si>
  <si>
    <t>13/8/2025</t>
  </si>
  <si>
    <t>Hồ Thị Bảo Trang (Đ 3)</t>
  </si>
  <si>
    <t>Nguyễn Nghĩa (Đ 2)</t>
  </si>
  <si>
    <t>Võ Thị Lý</t>
  </si>
  <si>
    <t>Nguyễn Trí Quang</t>
  </si>
  <si>
    <t>14/8/2025</t>
  </si>
  <si>
    <t>Nguyễn Thị Biễn</t>
  </si>
  <si>
    <t>15/8/2025</t>
  </si>
  <si>
    <t>Phạm Thị Lê</t>
  </si>
  <si>
    <t>16/8/2025</t>
  </si>
  <si>
    <t>Đinh Thị Quy</t>
  </si>
  <si>
    <t>17/8/2025</t>
  </si>
  <si>
    <t>Hồ Toát</t>
  </si>
  <si>
    <t>Nguyễn Ty (Đ 4)</t>
  </si>
  <si>
    <t>Nguyễn Thị Thu Hà (Oai)</t>
  </si>
  <si>
    <t>Nguyễn Thị Thiện (đ 3)</t>
  </si>
  <si>
    <t>18/8/2025</t>
  </si>
  <si>
    <t>Nguyễn Ngọc Sự</t>
  </si>
  <si>
    <t>Nguyễn Thị Tự</t>
  </si>
  <si>
    <t>Nguyễn Đức Dũng</t>
  </si>
  <si>
    <t>Lê Thị Phước</t>
  </si>
  <si>
    <t>19/8/2025</t>
  </si>
  <si>
    <t>19/8/2026</t>
  </si>
  <si>
    <t>19/8/2027</t>
  </si>
  <si>
    <t>19/8/2028</t>
  </si>
  <si>
    <t>Nguyễn Thị Thỉ (Phương đ6)</t>
  </si>
  <si>
    <t>19/8/2029</t>
  </si>
  <si>
    <t>20/8/2025</t>
  </si>
  <si>
    <t>Nguyễn Đức</t>
  </si>
  <si>
    <t>21/8/2025</t>
  </si>
  <si>
    <t>Hồ Thị Hồng</t>
  </si>
  <si>
    <t>Phan Hồng Tư</t>
  </si>
  <si>
    <t>22/8/2025</t>
  </si>
  <si>
    <t>23/8/2025</t>
  </si>
  <si>
    <t>24/8/2025</t>
  </si>
  <si>
    <t>25/8/2025</t>
  </si>
  <si>
    <t>26/8/2025</t>
  </si>
  <si>
    <t>Bùi Thị Thủy (Đ 2)</t>
  </si>
  <si>
    <t>27/8/2025</t>
  </si>
  <si>
    <t>Nguyễn Tý</t>
  </si>
  <si>
    <t>28/8/2025</t>
  </si>
  <si>
    <t>Khu phố 4, phường 3 cũ</t>
  </si>
  <si>
    <t>Phạm Thị Thúy Hằng</t>
  </si>
  <si>
    <t>Hoàng Thị Nga (Đ 3)</t>
  </si>
  <si>
    <t>Nguyễn Thị Mai (Đ 2)</t>
  </si>
  <si>
    <t>29/8/2025</t>
  </si>
  <si>
    <t>Ngô Bá Đương</t>
  </si>
  <si>
    <t>30/8/2025</t>
  </si>
  <si>
    <t>31/8/2025</t>
  </si>
  <si>
    <t>Khu phố 5, phường 2 cũ</t>
  </si>
  <si>
    <t xml:space="preserve">Nguyễn Phát </t>
  </si>
  <si>
    <t>Ngô Thị Thu Hồng (Thủy)</t>
  </si>
  <si>
    <t>Ngô Thị Thu Hồng (Bằng)</t>
  </si>
  <si>
    <t>Nguyễn Hà (Nam)</t>
  </si>
  <si>
    <t>Lần 1</t>
  </si>
  <si>
    <t>I</t>
  </si>
  <si>
    <t>Thôn Như Lệ</t>
  </si>
  <si>
    <t>II</t>
  </si>
  <si>
    <t>Thôn Tích Tường</t>
  </si>
  <si>
    <t>III</t>
  </si>
  <si>
    <t>Thôn Tân Phước</t>
  </si>
  <si>
    <t>IV</t>
  </si>
  <si>
    <t>Thôn Tân Mỹ</t>
  </si>
  <si>
    <t>V</t>
  </si>
  <si>
    <t>Khu phố 1, phường An Đôn cũ</t>
  </si>
  <si>
    <t>VI</t>
  </si>
  <si>
    <t>Khu phố 3, phường An Đôn cũ</t>
  </si>
  <si>
    <t>VII</t>
  </si>
  <si>
    <t>VIII</t>
  </si>
  <si>
    <t>Khu phố 3, phường 1 cũ</t>
  </si>
  <si>
    <t>IX</t>
  </si>
  <si>
    <t>X</t>
  </si>
  <si>
    <t>Khu phố 8, phường 3 cũ</t>
  </si>
  <si>
    <t>hủy 02 lần</t>
  </si>
  <si>
    <t>hủy 03 lần</t>
  </si>
  <si>
    <t>hủy 04 lần</t>
  </si>
  <si>
    <t>02 trại hủy 05 lần</t>
  </si>
  <si>
    <t>mới tính 02 lần hủy</t>
  </si>
  <si>
    <t>mới tính 01 lần hủy</t>
  </si>
  <si>
    <t>2 trại hủy 06 lần</t>
  </si>
  <si>
    <t>hủy lần 2</t>
  </si>
  <si>
    <t>hủy lần 3</t>
  </si>
  <si>
    <t>hủy lần 4</t>
  </si>
  <si>
    <t>hủy lần 5</t>
  </si>
  <si>
    <t>hủy lần 6</t>
  </si>
  <si>
    <t>hủy đợt 1</t>
  </si>
  <si>
    <t>Tổng số con hủy</t>
  </si>
  <si>
    <t>Thôn, khu phố</t>
  </si>
  <si>
    <t>STT</t>
  </si>
  <si>
    <t>Tổng hợp thiệt hại</t>
  </si>
  <si>
    <t>Trâu, bò, ngựa, dê</t>
  </si>
  <si>
    <t>Con</t>
  </si>
  <si>
    <t>kg</t>
  </si>
  <si>
    <t>Cừu, hươu sao</t>
  </si>
  <si>
    <t>Lợn</t>
  </si>
  <si>
    <t>Gà, vịt, ngan, ngổng, bồ câu</t>
  </si>
  <si>
    <t>Nguyễn Thị Phượng (Đ 4)</t>
  </si>
  <si>
    <t>Chim cút</t>
  </si>
  <si>
    <t>Đà điểu</t>
  </si>
  <si>
    <t>Động vật, sản phẩm động vật trên cạn khác</t>
  </si>
  <si>
    <t>NSTW hỗ trợ</t>
  </si>
  <si>
    <t>NSĐP đảm bảo</t>
  </si>
  <si>
    <t>Số quyết định hỗ trợ</t>
  </si>
  <si>
    <t>Địa phương (thôn/ khu phố)</t>
  </si>
  <si>
    <t>(1)</t>
  </si>
  <si>
    <t>(2)</t>
  </si>
  <si>
    <t>(3)</t>
  </si>
  <si>
    <t>(4)</t>
  </si>
  <si>
    <t>(5)</t>
  </si>
  <si>
    <t>(6)</t>
  </si>
  <si>
    <t>(7)</t>
  </si>
  <si>
    <t>(8)</t>
  </si>
  <si>
    <t>(9)</t>
  </si>
  <si>
    <t>(10)</t>
  </si>
  <si>
    <t>(11)</t>
  </si>
  <si>
    <t>(12)</t>
  </si>
  <si>
    <t>(13)</t>
  </si>
  <si>
    <t>(14)</t>
  </si>
  <si>
    <t>Trứng gia cầm</t>
  </si>
  <si>
    <t>(15)</t>
  </si>
  <si>
    <t>(16)</t>
  </si>
  <si>
    <t>(17)</t>
  </si>
  <si>
    <t>(18)</t>
  </si>
  <si>
    <t>(19)</t>
  </si>
  <si>
    <t>(20)</t>
  </si>
  <si>
    <t>(Từ ngày 20 tháng 7 năm 2025 đến ngày 31 tháng 8 năm 2025)</t>
  </si>
  <si>
    <t>TỔNG SỐ</t>
  </si>
  <si>
    <t>Phan Thị Thúy Hằng</t>
  </si>
  <si>
    <t>Nguyễn Thị Linh (Nguyễn Xuân Đạt)</t>
  </si>
  <si>
    <t>Ngô Cường</t>
  </si>
  <si>
    <t>Ngô Xuân Lộc</t>
  </si>
  <si>
    <t>Hồ Văn Lợi</t>
  </si>
  <si>
    <t>Ngô Văn Hòa</t>
  </si>
  <si>
    <t>Võ Thị Hoài Trinh (Phạm Thị Lý)</t>
  </si>
  <si>
    <t>Đinh Ngọc Mệnh</t>
  </si>
  <si>
    <t>Ngô Thị Linh (Bùi Văn Hiển)</t>
  </si>
  <si>
    <t>Ngô Văn Dũng (Đinh Thị Thái)</t>
  </si>
  <si>
    <t>Nguyễn Hải (Ngô Thị Hoa)</t>
  </si>
  <si>
    <t>Nguyễn Viết Thanh (Nguyễn Thị Yếng)</t>
  </si>
  <si>
    <t>Nguyễn Văn Tường (Nguyễn Văn Lực)</t>
  </si>
  <si>
    <t>Trần Thị Kim Diễn</t>
  </si>
  <si>
    <t>Ngô Văn Xá (Nguyễn Thị Hiền)</t>
  </si>
  <si>
    <t>Ngô Thị Di</t>
  </si>
  <si>
    <t>Nguyễn Thị Thúy Phượng</t>
  </si>
  <si>
    <t>Nguyễn Thị Biển</t>
  </si>
  <si>
    <t>Phạm Hữu Trung</t>
  </si>
  <si>
    <t>Nguyễn Văn Quốc</t>
  </si>
  <si>
    <t>Nguyễn Thanh Uynh</t>
  </si>
  <si>
    <t xml:space="preserve">Nguyễn Hà </t>
  </si>
  <si>
    <t xml:space="preserve">Nguyễn Văn Cao </t>
  </si>
  <si>
    <t xml:space="preserve">Nguyễn Văn Khánh </t>
  </si>
  <si>
    <t xml:space="preserve">Nguyễn Thị Tuyên </t>
  </si>
  <si>
    <t>Nguyễn Thị Minh Hòa (Nguyễn Văn Trí)</t>
  </si>
  <si>
    <t>Nguyễn Thị Thu Lan (Đ 5)</t>
  </si>
  <si>
    <t xml:space="preserve">Ngô Thị Thanh Phong </t>
  </si>
  <si>
    <t>Nguyễn Thị Hồng Đào (Đ 4)</t>
  </si>
  <si>
    <t>Nguyễn Thị Gia Luyến (Hòe)</t>
  </si>
  <si>
    <t>Nguyễn Thị Ánh Lựu</t>
  </si>
  <si>
    <t>Hồ Thị Thu Ba</t>
  </si>
  <si>
    <t>Nguyễn Hữu Thản (Trúc)</t>
  </si>
  <si>
    <t>Nguyễn Thị Lũy (Đ 2)</t>
  </si>
  <si>
    <t>Nguyễn Thị Lan (Dệt)</t>
  </si>
  <si>
    <t>Nguyễn Thị Như Bích</t>
  </si>
  <si>
    <t xml:space="preserve">Tổng số lợn mắc bệnh, chết và tiêu hủy </t>
  </si>
  <si>
    <t>Tổng NSNN đề nghị hỗ trợ</t>
  </si>
  <si>
    <t>Kinh phí hỗ trợ 
(triệu đồng)</t>
  </si>
  <si>
    <t>mới tính 3 lần hủy</t>
  </si>
  <si>
    <t>(Kèm theo Thông báo số             /TB-UBND ngày         /10/2025 của UBND phường)</t>
  </si>
  <si>
    <r>
      <t xml:space="preserve">Phụ lục 1: Danh sách niêm yết cơ sở sản xuất bị thiệt hại do dịch bệnh Dịch tả lợn Châu Phi 
trên địa bàn phường Quảng Trị năm 2025 (Tổng hợp các lần hủy)
</t>
    </r>
    <r>
      <rPr>
        <i/>
        <sz val="12"/>
        <color rgb="FF000000"/>
        <rFont val="Times New Roman"/>
        <family val="1"/>
      </rPr>
      <t xml:space="preserve"> Thời gian xảy ra dịch bệnh từ ngày 20/7/2025 đến ngày 31/8/2025
(Kèm theo Thông báo số             /TB-UBND ngày         /10/2025 của UBND phường)</t>
    </r>
  </si>
  <si>
    <t>BẢNG TỔNG HỢP DANH SÁCH NIÊM YẾT ĐỀ XUẤT HỖ TRỢ CƠ SỞ SẢN XUẤT BỊ THIỆT HẠI DO DỊCH BỆNH ĐỘNG VẬT TRÊN CẠN THEO 
NGHỊ ĐỊNH 116/2025/NĐ-CP NGÀY 05/6/2025 CỦA CHÍNH PHỦ (ĐỢT 1)</t>
  </si>
  <si>
    <r>
      <t xml:space="preserve">Phụ lục 2: Danh sách niêm yết cơ sở sản xuất bị thiệt hại do dịch bệnh Dịch tả lợn Châu Phi trên địa bàn
 phường Quảng Trị năm 2025 (theo các lần hủy)
</t>
    </r>
    <r>
      <rPr>
        <i/>
        <sz val="12"/>
        <rFont val="Times New Roman"/>
        <family val="1"/>
      </rPr>
      <t xml:space="preserve"> Thời gian xảy ra dịch bệnh từ ngày 20/7/2025 đến ngày 31/8/2025
(Kèm theo Thông báo số             /TB-UBND ngày         /10/2025 của UBND phường)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</si>
</sst>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_);_(* \(#,##0\);_(* &quot;-&quot;??_);_(@_)"/>
    <numFmt numFmtId="165" formatCode="0.0"/>
    <numFmt numFmtId="166" formatCode="#,##0.0"/>
    <numFmt numFmtId="167" formatCode="0.000"/>
    <numFmt numFmtId="168" formatCode="#,##0.000"/>
  </numFmts>
  <fonts count="21">
    <font>
      <sz val="11"/>
      <color theme="1"/>
      <name val="Arial"/>
      <charset val="134"/>
      <scheme val="minor"/>
    </font>
    <font>
      <sz val="11"/>
      <color theme="1"/>
      <name val="Arial"/>
      <family val="2"/>
      <scheme val="minor"/>
    </font>
    <font>
      <sz val="11"/>
      <color theme="1"/>
      <name val="Times New Roman"/>
      <family val="1"/>
    </font>
    <font>
      <sz val="11"/>
      <color rgb="FFFF0000"/>
      <name val="Times New Roman"/>
      <family val="1"/>
    </font>
    <font>
      <b/>
      <sz val="12"/>
      <color rgb="FF000000"/>
      <name val="Times New Roman"/>
      <family val="1"/>
    </font>
    <font>
      <sz val="10"/>
      <color theme="1"/>
      <name val="Times New Roman"/>
      <family val="1"/>
    </font>
    <font>
      <b/>
      <sz val="9"/>
      <name val="Tahoma"/>
      <family val="2"/>
    </font>
    <font>
      <sz val="9"/>
      <name val="Tahoma"/>
      <family val="2"/>
    </font>
    <font>
      <sz val="11"/>
      <name val="Times New Roman"/>
      <family val="1"/>
    </font>
    <font>
      <b/>
      <sz val="11"/>
      <color theme="1"/>
      <name val="Times New Roman"/>
      <family val="1"/>
    </font>
    <font>
      <i/>
      <sz val="12"/>
      <color rgb="FF000000"/>
      <name val="Times New Roman"/>
      <family val="1"/>
    </font>
    <font>
      <b/>
      <sz val="11"/>
      <color rgb="FFFF0000"/>
      <name val="Times New Roman"/>
      <family val="1"/>
    </font>
    <font>
      <b/>
      <sz val="11"/>
      <color rgb="FF000000"/>
      <name val="Times New Roman"/>
      <family val="1"/>
    </font>
    <font>
      <b/>
      <sz val="11"/>
      <name val="Times New Roman"/>
      <family val="1"/>
    </font>
    <font>
      <sz val="11"/>
      <color rgb="FF000000"/>
      <name val="Times New Roman"/>
      <family val="1"/>
    </font>
    <font>
      <sz val="12"/>
      <color theme="1"/>
      <name val="Times New Roman"/>
      <family val="1"/>
    </font>
    <font>
      <b/>
      <sz val="12"/>
      <color theme="1"/>
      <name val="Times New Roman"/>
      <family val="1"/>
    </font>
    <font>
      <sz val="12"/>
      <name val="Times New Roman"/>
      <family val="1"/>
    </font>
    <font>
      <i/>
      <sz val="12"/>
      <color theme="1"/>
      <name val="Times New Roman"/>
      <family val="1"/>
    </font>
    <font>
      <b/>
      <sz val="12"/>
      <name val="Times New Roman"/>
      <family val="1"/>
    </font>
    <font>
      <i/>
      <sz val="12"/>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1" fillId="0" borderId="0"/>
  </cellStyleXfs>
  <cellXfs count="136">
    <xf numFmtId="0" fontId="0" fillId="0" borderId="0" xfId="0"/>
    <xf numFmtId="0" fontId="5" fillId="0" borderId="1" xfId="0" applyFont="1" applyBorder="1"/>
    <xf numFmtId="0" fontId="2" fillId="0" borderId="1" xfId="0" applyFont="1" applyBorder="1" applyAlignment="1">
      <alignment horizontal="center"/>
    </xf>
    <xf numFmtId="0" fontId="5" fillId="2" borderId="1" xfId="0" applyFont="1" applyFill="1" applyBorder="1"/>
    <xf numFmtId="0" fontId="2" fillId="0" borderId="1" xfId="0" applyFont="1" applyBorder="1"/>
    <xf numFmtId="0" fontId="3" fillId="0" borderId="1" xfId="0" applyFont="1" applyBorder="1"/>
    <xf numFmtId="3" fontId="2" fillId="0" borderId="1" xfId="0" applyNumberFormat="1" applyFont="1" applyBorder="1"/>
    <xf numFmtId="0" fontId="2" fillId="2" borderId="1" xfId="0" applyFont="1" applyFill="1" applyBorder="1"/>
    <xf numFmtId="0" fontId="3" fillId="2" borderId="1" xfId="0" applyFont="1" applyFill="1" applyBorder="1"/>
    <xf numFmtId="0" fontId="2" fillId="0" borderId="0" xfId="1" applyFont="1"/>
    <xf numFmtId="3" fontId="3" fillId="0" borderId="0" xfId="1" applyNumberFormat="1" applyFont="1"/>
    <xf numFmtId="0" fontId="3" fillId="0" borderId="0" xfId="1" applyFont="1"/>
    <xf numFmtId="0" fontId="2" fillId="2" borderId="0" xfId="1" applyFont="1" applyFill="1"/>
    <xf numFmtId="0" fontId="2" fillId="0" borderId="1" xfId="1" applyFont="1" applyBorder="1" applyAlignment="1">
      <alignment horizontal="center"/>
    </xf>
    <xf numFmtId="0" fontId="3" fillId="2" borderId="0" xfId="1" applyFont="1" applyFill="1"/>
    <xf numFmtId="0" fontId="2" fillId="0" borderId="1" xfId="1" applyFont="1" applyBorder="1"/>
    <xf numFmtId="0" fontId="3" fillId="0" borderId="1" xfId="1" applyFont="1" applyBorder="1"/>
    <xf numFmtId="0" fontId="2" fillId="2" borderId="1" xfId="1" applyFont="1" applyFill="1" applyBorder="1"/>
    <xf numFmtId="0" fontId="9" fillId="2" borderId="0" xfId="1" applyFont="1" applyFill="1" applyAlignment="1">
      <alignment horizontal="center" vertical="center"/>
    </xf>
    <xf numFmtId="0" fontId="9" fillId="2" borderId="1" xfId="1" applyFont="1" applyFill="1" applyBorder="1" applyAlignment="1">
      <alignment horizontal="center" vertical="center"/>
    </xf>
    <xf numFmtId="3" fontId="9" fillId="2" borderId="1" xfId="1" applyNumberFormat="1" applyFont="1" applyFill="1" applyBorder="1" applyAlignment="1">
      <alignment horizontal="center" vertical="center"/>
    </xf>
    <xf numFmtId="0" fontId="9" fillId="0" borderId="0" xfId="1" applyFont="1"/>
    <xf numFmtId="0" fontId="9" fillId="0" borderId="1" xfId="1" applyFont="1" applyBorder="1"/>
    <xf numFmtId="3" fontId="9" fillId="0" borderId="1" xfId="1" applyNumberFormat="1" applyFont="1" applyBorder="1"/>
    <xf numFmtId="0" fontId="9" fillId="2" borderId="0" xfId="1" applyFont="1" applyFill="1"/>
    <xf numFmtId="0" fontId="9" fillId="2" borderId="1" xfId="1" applyFont="1" applyFill="1" applyBorder="1"/>
    <xf numFmtId="0" fontId="11" fillId="2" borderId="1" xfId="1" applyFont="1" applyFill="1" applyBorder="1"/>
    <xf numFmtId="3" fontId="9" fillId="2" borderId="1" xfId="1" applyNumberFormat="1" applyFont="1" applyFill="1" applyBorder="1"/>
    <xf numFmtId="0" fontId="11" fillId="2" borderId="0" xfId="1" applyFont="1" applyFill="1"/>
    <xf numFmtId="0" fontId="11" fillId="2" borderId="0" xfId="1" applyFont="1" applyFill="1" applyAlignment="1">
      <alignment horizontal="center"/>
    </xf>
    <xf numFmtId="0" fontId="11" fillId="2" borderId="1" xfId="1" applyFont="1" applyFill="1" applyBorder="1" applyAlignment="1">
      <alignment horizontal="center"/>
    </xf>
    <xf numFmtId="166" fontId="2" fillId="2" borderId="0" xfId="1" applyNumberFormat="1" applyFont="1" applyFill="1"/>
    <xf numFmtId="0" fontId="9" fillId="2" borderId="1" xfId="1" applyFont="1" applyFill="1" applyBorder="1" applyAlignment="1">
      <alignment horizontal="center"/>
    </xf>
    <xf numFmtId="3" fontId="9" fillId="2" borderId="1" xfId="1" applyNumberFormat="1" applyFont="1" applyFill="1" applyBorder="1" applyAlignment="1">
      <alignment horizontal="center"/>
    </xf>
    <xf numFmtId="0" fontId="11" fillId="2" borderId="1" xfId="1" applyFont="1" applyFill="1" applyBorder="1" applyAlignment="1">
      <alignment horizontal="center" vertical="center"/>
    </xf>
    <xf numFmtId="0" fontId="3" fillId="0" borderId="1" xfId="1" applyFont="1" applyBorder="1" applyAlignment="1">
      <alignment horizontal="center"/>
    </xf>
    <xf numFmtId="164" fontId="5" fillId="0" borderId="0" xfId="1" applyNumberFormat="1" applyFont="1"/>
    <xf numFmtId="0" fontId="2" fillId="0" borderId="0" xfId="1" applyFont="1" applyAlignment="1">
      <alignment horizontal="left"/>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xf>
    <xf numFmtId="164" fontId="2" fillId="2" borderId="1" xfId="0" applyNumberFormat="1" applyFont="1" applyFill="1" applyBorder="1" applyAlignment="1">
      <alignment horizontal="center" vertical="center"/>
    </xf>
    <xf numFmtId="165" fontId="8" fillId="2" borderId="1" xfId="0" applyNumberFormat="1" applyFont="1" applyFill="1" applyBorder="1" applyAlignment="1">
      <alignment horizontal="center" vertical="center"/>
    </xf>
    <xf numFmtId="3" fontId="2" fillId="0" borderId="0" xfId="1" applyNumberFormat="1" applyFont="1"/>
    <xf numFmtId="14" fontId="8" fillId="2" borderId="1" xfId="0" applyNumberFormat="1" applyFont="1" applyFill="1" applyBorder="1" applyAlignment="1">
      <alignment horizontal="center" vertical="center"/>
    </xf>
    <xf numFmtId="14" fontId="8" fillId="2" borderId="1" xfId="1" applyNumberFormat="1" applyFont="1" applyFill="1" applyBorder="1" applyAlignment="1">
      <alignment horizontal="center" vertical="center"/>
    </xf>
    <xf numFmtId="0" fontId="8" fillId="2" borderId="1" xfId="1" applyFont="1" applyFill="1" applyBorder="1" applyAlignment="1">
      <alignment horizontal="left" vertical="center"/>
    </xf>
    <xf numFmtId="164" fontId="2" fillId="2" borderId="1" xfId="1" applyNumberFormat="1" applyFont="1" applyFill="1" applyBorder="1" applyAlignment="1">
      <alignment horizontal="center" vertical="center"/>
    </xf>
    <xf numFmtId="0" fontId="8" fillId="2" borderId="1" xfId="1" applyFont="1" applyFill="1" applyBorder="1" applyAlignment="1">
      <alignment horizontal="center" vertical="center"/>
    </xf>
    <xf numFmtId="165" fontId="8" fillId="2" borderId="1" xfId="1" applyNumberFormat="1" applyFont="1" applyFill="1" applyBorder="1" applyAlignment="1">
      <alignment horizontal="center" vertical="center"/>
    </xf>
    <xf numFmtId="0" fontId="15" fillId="0" borderId="0" xfId="0" applyFont="1"/>
    <xf numFmtId="0" fontId="16" fillId="0" borderId="0" xfId="0" applyFont="1" applyAlignment="1">
      <alignment horizontal="center"/>
    </xf>
    <xf numFmtId="0" fontId="15" fillId="0" borderId="1" xfId="0" applyFont="1" applyBorder="1"/>
    <xf numFmtId="167" fontId="15" fillId="0" borderId="1" xfId="0" applyNumberFormat="1" applyFont="1" applyBorder="1"/>
    <xf numFmtId="0" fontId="16" fillId="0" borderId="1" xfId="0" applyFont="1" applyBorder="1"/>
    <xf numFmtId="0" fontId="16" fillId="0" borderId="0" xfId="0" applyFont="1"/>
    <xf numFmtId="167" fontId="15" fillId="0" borderId="0" xfId="0" applyNumberFormat="1" applyFont="1"/>
    <xf numFmtId="0" fontId="16" fillId="0" borderId="1" xfId="0" quotePrefix="1" applyFont="1" applyBorder="1" applyAlignment="1">
      <alignment horizontal="center"/>
    </xf>
    <xf numFmtId="3" fontId="16" fillId="0" borderId="1" xfId="0" quotePrefix="1" applyNumberFormat="1" applyFont="1" applyBorder="1" applyAlignment="1">
      <alignment horizontal="center"/>
    </xf>
    <xf numFmtId="168" fontId="16" fillId="0" borderId="1" xfId="0" quotePrefix="1" applyNumberFormat="1" applyFont="1" applyBorder="1" applyAlignment="1">
      <alignment horizontal="center"/>
    </xf>
    <xf numFmtId="0" fontId="17" fillId="0" borderId="1" xfId="0" applyFont="1" applyBorder="1"/>
    <xf numFmtId="0" fontId="15" fillId="2" borderId="1" xfId="0" applyFont="1" applyFill="1" applyBorder="1"/>
    <xf numFmtId="0" fontId="15" fillId="0" borderId="1" xfId="1" applyFont="1" applyBorder="1"/>
    <xf numFmtId="167" fontId="16" fillId="0" borderId="1" xfId="0" applyNumberFormat="1" applyFont="1" applyBorder="1"/>
    <xf numFmtId="0" fontId="15" fillId="2" borderId="1" xfId="1" applyFont="1" applyFill="1" applyBorder="1"/>
    <xf numFmtId="0" fontId="16" fillId="0" borderId="1" xfId="0" applyFont="1" applyBorder="1" applyAlignment="1">
      <alignment wrapText="1"/>
    </xf>
    <xf numFmtId="0" fontId="17" fillId="0" borderId="1" xfId="1" applyFont="1" applyBorder="1"/>
    <xf numFmtId="3" fontId="15" fillId="0" borderId="0" xfId="0" applyNumberFormat="1" applyFont="1"/>
    <xf numFmtId="3" fontId="16" fillId="0" borderId="1" xfId="0" applyNumberFormat="1" applyFont="1" applyBorder="1"/>
    <xf numFmtId="3" fontId="15" fillId="0" borderId="1" xfId="0" applyNumberFormat="1" applyFont="1" applyBorder="1"/>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 fontId="16" fillId="0" borderId="1" xfId="0" applyNumberFormat="1" applyFont="1" applyBorder="1" applyAlignment="1">
      <alignment horizontal="center" vertical="center"/>
    </xf>
    <xf numFmtId="0" fontId="16" fillId="0" borderId="1" xfId="0" quotePrefix="1" applyFont="1" applyBorder="1" applyAlignment="1">
      <alignment horizontal="center" vertical="center"/>
    </xf>
    <xf numFmtId="0" fontId="15" fillId="0" borderId="1" xfId="0" quotePrefix="1" applyFont="1" applyBorder="1" applyAlignment="1">
      <alignment horizontal="center" vertical="center"/>
    </xf>
    <xf numFmtId="0" fontId="15" fillId="0" borderId="0" xfId="0" applyFont="1" applyAlignment="1">
      <alignment horizontal="center" vertical="center"/>
    </xf>
    <xf numFmtId="0" fontId="5" fillId="0" borderId="0" xfId="1" applyFont="1"/>
    <xf numFmtId="0" fontId="2" fillId="2" borderId="1" xfId="0" applyFont="1" applyFill="1" applyBorder="1" applyAlignment="1">
      <alignment horizontal="left"/>
    </xf>
    <xf numFmtId="0" fontId="2" fillId="2" borderId="1" xfId="0" applyFont="1" applyFill="1" applyBorder="1" applyAlignment="1">
      <alignment horizontal="center"/>
    </xf>
    <xf numFmtId="164" fontId="2" fillId="0" borderId="0" xfId="1" applyNumberFormat="1" applyFont="1"/>
    <xf numFmtId="164" fontId="5" fillId="2" borderId="0" xfId="1" applyNumberFormat="1" applyFont="1" applyFill="1"/>
    <xf numFmtId="0" fontId="2" fillId="0" borderId="0" xfId="1" applyFont="1" applyAlignment="1">
      <alignment horizontal="center"/>
    </xf>
    <xf numFmtId="0" fontId="11" fillId="0" borderId="1" xfId="1" applyFont="1" applyBorder="1" applyAlignment="1">
      <alignment horizontal="center" vertical="center"/>
    </xf>
    <xf numFmtId="0" fontId="9" fillId="0" borderId="1" xfId="1" applyFont="1" applyBorder="1" applyAlignment="1">
      <alignment horizontal="center"/>
    </xf>
    <xf numFmtId="0" fontId="11" fillId="0" borderId="1" xfId="1" applyFont="1" applyBorder="1" applyAlignment="1">
      <alignment horizontal="center" vertical="center" wrapText="1"/>
    </xf>
    <xf numFmtId="3" fontId="11" fillId="0" borderId="1" xfId="1" applyNumberFormat="1" applyFont="1" applyBorder="1" applyAlignment="1">
      <alignment horizontal="center" vertical="center" wrapText="1"/>
    </xf>
    <xf numFmtId="0" fontId="11" fillId="0" borderId="1" xfId="1" applyFont="1" applyBorder="1" applyAlignment="1">
      <alignment horizontal="left" vertical="center" wrapText="1"/>
    </xf>
    <xf numFmtId="165" fontId="2" fillId="0" borderId="1" xfId="0" applyNumberFormat="1" applyFont="1" applyBorder="1" applyAlignment="1">
      <alignment horizontal="center"/>
    </xf>
    <xf numFmtId="3" fontId="2" fillId="2" borderId="1" xfId="0" applyNumberFormat="1" applyFont="1" applyFill="1" applyBorder="1" applyAlignment="1">
      <alignment horizontal="center"/>
    </xf>
    <xf numFmtId="0" fontId="2" fillId="2" borderId="1" xfId="0" applyFont="1" applyFill="1" applyBorder="1" applyAlignment="1">
      <alignment horizontal="right"/>
    </xf>
    <xf numFmtId="3" fontId="2" fillId="2" borderId="1" xfId="0" applyNumberFormat="1" applyFont="1" applyFill="1" applyBorder="1" applyAlignment="1">
      <alignment horizontal="right"/>
    </xf>
    <xf numFmtId="0" fontId="9" fillId="0" borderId="1" xfId="1" applyFont="1" applyBorder="1" applyAlignment="1">
      <alignment horizontal="left"/>
    </xf>
    <xf numFmtId="0" fontId="8" fillId="0" borderId="1" xfId="0" applyFont="1" applyBorder="1"/>
    <xf numFmtId="0" fontId="8" fillId="0" borderId="1" xfId="0" applyFont="1" applyBorder="1" applyAlignment="1">
      <alignment horizontal="center"/>
    </xf>
    <xf numFmtId="165" fontId="8" fillId="0" borderId="1" xfId="0" applyNumberFormat="1" applyFont="1" applyBorder="1" applyAlignment="1">
      <alignment horizontal="center"/>
    </xf>
    <xf numFmtId="0" fontId="9" fillId="2" borderId="1" xfId="1" applyFont="1" applyFill="1" applyBorder="1" applyAlignment="1">
      <alignment horizontal="left"/>
    </xf>
    <xf numFmtId="0" fontId="8" fillId="0" borderId="1" xfId="1" applyFont="1" applyBorder="1"/>
    <xf numFmtId="0" fontId="8" fillId="0" borderId="1" xfId="1" applyFont="1" applyBorder="1" applyAlignment="1">
      <alignment horizontal="center"/>
    </xf>
    <xf numFmtId="165" fontId="8" fillId="0" borderId="1" xfId="1" applyNumberFormat="1" applyFont="1" applyBorder="1" applyAlignment="1">
      <alignment horizontal="center"/>
    </xf>
    <xf numFmtId="0" fontId="15" fillId="0" borderId="1" xfId="0" quotePrefix="1" applyFont="1" applyBorder="1" applyAlignment="1">
      <alignment horizontal="center"/>
    </xf>
    <xf numFmtId="3" fontId="15" fillId="0" borderId="1" xfId="0" quotePrefix="1" applyNumberFormat="1" applyFont="1" applyBorder="1" applyAlignment="1">
      <alignment horizontal="center"/>
    </xf>
    <xf numFmtId="0" fontId="13" fillId="2" borderId="1" xfId="1" applyFont="1" applyFill="1" applyBorder="1" applyAlignment="1">
      <alignment horizontal="center" vertical="center"/>
    </xf>
    <xf numFmtId="0" fontId="9" fillId="2" borderId="1" xfId="1" applyFont="1" applyFill="1" applyBorder="1" applyAlignment="1">
      <alignment horizontal="left"/>
    </xf>
    <xf numFmtId="0" fontId="13" fillId="0" borderId="1" xfId="1" applyFont="1" applyBorder="1" applyAlignment="1">
      <alignment horizontal="center" vertical="center"/>
    </xf>
    <xf numFmtId="0" fontId="14"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9" fillId="2" borderId="1" xfId="1" applyFont="1" applyFill="1" applyBorder="1" applyAlignment="1">
      <alignment horizontal="center" vertical="center"/>
    </xf>
    <xf numFmtId="0" fontId="4" fillId="0" borderId="0" xfId="1" applyFont="1" applyAlignment="1">
      <alignment horizontal="center" vertical="center" wrapText="1"/>
    </xf>
    <xf numFmtId="0" fontId="4" fillId="0" borderId="2" xfId="1" applyFont="1" applyBorder="1" applyAlignment="1">
      <alignment horizontal="center" vertical="center" wrapText="1"/>
    </xf>
    <xf numFmtId="0" fontId="9" fillId="0" borderId="1" xfId="1" applyFont="1" applyBorder="1" applyAlignment="1">
      <alignment horizontal="center" vertical="center"/>
    </xf>
    <xf numFmtId="0" fontId="12" fillId="0" borderId="1" xfId="1" applyFont="1" applyBorder="1" applyAlignment="1">
      <alignment horizontal="center" vertical="center" wrapText="1"/>
    </xf>
    <xf numFmtId="0" fontId="13" fillId="2" borderId="1" xfId="1"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0" xfId="0" applyFont="1" applyAlignment="1">
      <alignment horizontal="center"/>
    </xf>
    <xf numFmtId="0" fontId="18" fillId="0" borderId="0" xfId="0" applyFont="1" applyAlignment="1">
      <alignment horizontal="center"/>
    </xf>
    <xf numFmtId="0" fontId="16" fillId="0" borderId="0" xfId="0" applyFont="1" applyAlignment="1">
      <alignment horizontal="center" vertical="center" wrapText="1"/>
    </xf>
    <xf numFmtId="0" fontId="15" fillId="0" borderId="0" xfId="0" applyFont="1" applyAlignment="1">
      <alignment horizontal="center"/>
    </xf>
    <xf numFmtId="0" fontId="18" fillId="0" borderId="3" xfId="0" applyFont="1" applyBorder="1" applyAlignment="1">
      <alignment horizontal="center" vertical="center"/>
    </xf>
    <xf numFmtId="0" fontId="19" fillId="0" borderId="0" xfId="1" applyFont="1" applyAlignment="1">
      <alignment horizontal="center" vertical="center" wrapText="1"/>
    </xf>
    <xf numFmtId="0" fontId="19" fillId="0" borderId="2" xfId="1" applyFont="1" applyBorder="1" applyAlignment="1">
      <alignment horizontal="center" vertical="center" wrapText="1"/>
    </xf>
    <xf numFmtId="0" fontId="19" fillId="0" borderId="3" xfId="1" applyFont="1" applyBorder="1" applyAlignment="1">
      <alignment horizontal="center" vertical="center" wrapText="1"/>
    </xf>
    <xf numFmtId="0" fontId="19" fillId="0" borderId="4" xfId="1" applyFont="1" applyBorder="1" applyAlignment="1">
      <alignment horizontal="center" vertical="center" wrapText="1"/>
    </xf>
    <xf numFmtId="0" fontId="13" fillId="2" borderId="1" xfId="1" applyFont="1" applyFill="1" applyBorder="1" applyAlignment="1">
      <alignment horizontal="center" vertical="center" wrapText="1"/>
    </xf>
    <xf numFmtId="0" fontId="13" fillId="2" borderId="1" xfId="1" applyFont="1" applyFill="1" applyBorder="1" applyAlignment="1">
      <alignment horizontal="left" vertical="center" wrapText="1"/>
    </xf>
    <xf numFmtId="0" fontId="8" fillId="2" borderId="1" xfId="1" applyFont="1" applyFill="1" applyBorder="1" applyAlignment="1">
      <alignment horizontal="center" vertical="center" wrapText="1"/>
    </xf>
    <xf numFmtId="3" fontId="13" fillId="2" borderId="1" xfId="1" applyNumberFormat="1" applyFont="1" applyFill="1" applyBorder="1" applyAlignment="1">
      <alignment horizontal="center" vertical="center" wrapText="1"/>
    </xf>
    <xf numFmtId="0" fontId="13" fillId="2" borderId="1" xfId="1" applyFont="1" applyFill="1" applyBorder="1" applyAlignment="1">
      <alignment horizontal="left" vertical="center" wrapText="1"/>
    </xf>
    <xf numFmtId="164" fontId="8"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3" fontId="8" fillId="2" borderId="1" xfId="0" applyNumberFormat="1" applyFont="1" applyFill="1" applyBorder="1" applyAlignment="1">
      <alignment horizontal="center" vertical="center"/>
    </xf>
    <xf numFmtId="0" fontId="13" fillId="2" borderId="1" xfId="1" applyFont="1" applyFill="1" applyBorder="1" applyAlignment="1">
      <alignment horizontal="left" vertical="center"/>
    </xf>
    <xf numFmtId="3" fontId="13" fillId="2" borderId="1" xfId="1" applyNumberFormat="1" applyFont="1" applyFill="1" applyBorder="1" applyAlignment="1">
      <alignment horizontal="center" vertical="center"/>
    </xf>
    <xf numFmtId="0" fontId="13" fillId="2" borderId="1" xfId="1" applyFont="1" applyFill="1" applyBorder="1" applyAlignment="1">
      <alignment horizontal="left" vertical="center"/>
    </xf>
    <xf numFmtId="0" fontId="8" fillId="2" borderId="1" xfId="0" applyFont="1" applyFill="1" applyBorder="1"/>
    <xf numFmtId="164" fontId="8" fillId="2" borderId="1" xfId="1" applyNumberFormat="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42"/>
  <sheetViews>
    <sheetView view="pageBreakPreview" topLeftCell="A73" zoomScale="60" zoomScaleNormal="100" workbookViewId="0">
      <selection activeCell="F30" sqref="F30"/>
    </sheetView>
  </sheetViews>
  <sheetFormatPr defaultColWidth="8.875" defaultRowHeight="15"/>
  <cols>
    <col min="1" max="1" width="6.75" style="81" customWidth="1"/>
    <col min="2" max="2" width="18.125" style="9" customWidth="1"/>
    <col min="3" max="3" width="44.625" style="9" customWidth="1"/>
    <col min="4" max="4" width="10" style="9" customWidth="1"/>
    <col min="5" max="5" width="11.25" style="9" customWidth="1"/>
    <col min="6" max="6" width="8.375" style="9" customWidth="1"/>
    <col min="7" max="10" width="7" style="9" customWidth="1"/>
    <col min="11" max="11" width="7.625" style="9" customWidth="1"/>
    <col min="12" max="12" width="19.875" style="9" customWidth="1"/>
    <col min="13" max="13" width="20.625" style="9" customWidth="1"/>
    <col min="14" max="14" width="8.375" style="9" customWidth="1"/>
    <col min="15" max="16384" width="8.875" style="9"/>
  </cols>
  <sheetData>
    <row r="1" spans="1:21" ht="15" customHeight="1">
      <c r="A1" s="107" t="s">
        <v>362</v>
      </c>
      <c r="B1" s="107"/>
      <c r="C1" s="107"/>
      <c r="D1" s="107"/>
      <c r="E1" s="107"/>
      <c r="F1" s="107"/>
      <c r="G1" s="107"/>
      <c r="H1" s="107"/>
      <c r="I1" s="107"/>
      <c r="J1" s="107"/>
      <c r="K1" s="107"/>
      <c r="L1" s="108"/>
    </row>
    <row r="2" spans="1:21" ht="57.75" customHeight="1">
      <c r="A2" s="107"/>
      <c r="B2" s="107"/>
      <c r="C2" s="107"/>
      <c r="D2" s="107"/>
      <c r="E2" s="107"/>
      <c r="F2" s="107"/>
      <c r="G2" s="107"/>
      <c r="H2" s="107"/>
      <c r="I2" s="107"/>
      <c r="J2" s="107"/>
      <c r="K2" s="107"/>
      <c r="L2" s="108"/>
    </row>
    <row r="3" spans="1:21" ht="15" customHeight="1">
      <c r="A3" s="109" t="s">
        <v>0</v>
      </c>
      <c r="B3" s="110" t="s">
        <v>3</v>
      </c>
      <c r="C3" s="110" t="s">
        <v>4</v>
      </c>
      <c r="D3" s="110" t="s">
        <v>357</v>
      </c>
      <c r="E3" s="110"/>
      <c r="F3" s="110" t="s">
        <v>5</v>
      </c>
      <c r="G3" s="110"/>
      <c r="H3" s="110"/>
      <c r="I3" s="110"/>
      <c r="J3" s="110"/>
      <c r="K3" s="110"/>
      <c r="L3" s="103" t="s">
        <v>1</v>
      </c>
      <c r="R3" s="9">
        <f t="shared" ref="R3" si="0">SUM(I203:I205)</f>
        <v>528</v>
      </c>
    </row>
    <row r="4" spans="1:21" ht="26.25" customHeight="1">
      <c r="A4" s="109"/>
      <c r="B4" s="110"/>
      <c r="C4" s="110"/>
      <c r="D4" s="110"/>
      <c r="E4" s="110"/>
      <c r="F4" s="110"/>
      <c r="G4" s="110"/>
      <c r="H4" s="110"/>
      <c r="I4" s="110"/>
      <c r="J4" s="110"/>
      <c r="K4" s="110"/>
      <c r="L4" s="103"/>
      <c r="R4" s="9" t="e">
        <f>#REF!+#REF!</f>
        <v>#REF!</v>
      </c>
      <c r="S4" s="9">
        <f>SUM(J213:J213)</f>
        <v>9</v>
      </c>
      <c r="T4" s="9">
        <f>SUM(K213:K213)</f>
        <v>22</v>
      </c>
      <c r="U4" s="9">
        <f>SUM(L213:L213)</f>
        <v>0</v>
      </c>
    </row>
    <row r="5" spans="1:21" ht="30" customHeight="1">
      <c r="A5" s="109"/>
      <c r="B5" s="110"/>
      <c r="C5" s="110"/>
      <c r="D5" s="110"/>
      <c r="E5" s="110"/>
      <c r="F5" s="110"/>
      <c r="G5" s="110"/>
      <c r="H5" s="110"/>
      <c r="I5" s="110"/>
      <c r="J5" s="110"/>
      <c r="K5" s="110"/>
      <c r="L5" s="103"/>
    </row>
    <row r="6" spans="1:21">
      <c r="A6" s="109"/>
      <c r="B6" s="110"/>
      <c r="C6" s="110"/>
      <c r="D6" s="104" t="s">
        <v>280</v>
      </c>
      <c r="E6" s="104" t="s">
        <v>7</v>
      </c>
      <c r="F6" s="104" t="s">
        <v>8</v>
      </c>
      <c r="G6" s="104" t="s">
        <v>9</v>
      </c>
      <c r="H6" s="104" t="s">
        <v>10</v>
      </c>
      <c r="I6" s="104" t="s">
        <v>11</v>
      </c>
      <c r="J6" s="104" t="s">
        <v>12</v>
      </c>
      <c r="K6" s="104" t="s">
        <v>13</v>
      </c>
      <c r="L6" s="103"/>
      <c r="R6" s="9">
        <f t="shared" ref="R6:S6" si="1">SUM(I199:I202)</f>
        <v>67</v>
      </c>
      <c r="S6" s="9">
        <f t="shared" si="1"/>
        <v>0</v>
      </c>
    </row>
    <row r="7" spans="1:21" ht="55.5" customHeight="1">
      <c r="A7" s="109"/>
      <c r="B7" s="110"/>
      <c r="C7" s="110"/>
      <c r="D7" s="104"/>
      <c r="E7" s="104"/>
      <c r="F7" s="104"/>
      <c r="G7" s="104"/>
      <c r="H7" s="104"/>
      <c r="I7" s="104"/>
      <c r="J7" s="104"/>
      <c r="K7" s="104"/>
      <c r="L7" s="103"/>
    </row>
    <row r="8" spans="1:21" s="11" customFormat="1" ht="19.5" customHeight="1">
      <c r="A8" s="35"/>
      <c r="B8" s="105" t="s">
        <v>14</v>
      </c>
      <c r="C8" s="105"/>
      <c r="D8" s="85">
        <f t="shared" ref="D8:K8" si="2">D9+D85+D144+D178+D208+D220+D222+D225+D227+D229</f>
        <v>2075</v>
      </c>
      <c r="E8" s="85">
        <f t="shared" si="2"/>
        <v>104797</v>
      </c>
      <c r="F8" s="85">
        <f t="shared" si="2"/>
        <v>319</v>
      </c>
      <c r="G8" s="85">
        <f t="shared" si="2"/>
        <v>44828</v>
      </c>
      <c r="H8" s="85">
        <f t="shared" si="2"/>
        <v>1279</v>
      </c>
      <c r="I8" s="85">
        <f t="shared" si="2"/>
        <v>58140</v>
      </c>
      <c r="J8" s="85">
        <f t="shared" si="2"/>
        <v>477</v>
      </c>
      <c r="K8" s="85">
        <f t="shared" si="2"/>
        <v>1829</v>
      </c>
      <c r="L8" s="82"/>
      <c r="M8" s="10"/>
      <c r="N8" s="10"/>
    </row>
    <row r="9" spans="1:21" s="11" customFormat="1" ht="19.5" customHeight="1">
      <c r="A9" s="82" t="s">
        <v>249</v>
      </c>
      <c r="B9" s="86" t="s">
        <v>250</v>
      </c>
      <c r="C9" s="84"/>
      <c r="D9" s="85">
        <f t="shared" ref="D9:K9" si="3">SUM(D10:D84)</f>
        <v>530</v>
      </c>
      <c r="E9" s="85">
        <f t="shared" si="3"/>
        <v>24826</v>
      </c>
      <c r="F9" s="85">
        <f t="shared" si="3"/>
        <v>98</v>
      </c>
      <c r="G9" s="85">
        <f t="shared" si="3"/>
        <v>14539</v>
      </c>
      <c r="H9" s="85">
        <f t="shared" si="3"/>
        <v>268</v>
      </c>
      <c r="I9" s="85">
        <f t="shared" si="3"/>
        <v>9567</v>
      </c>
      <c r="J9" s="85">
        <f t="shared" si="3"/>
        <v>164</v>
      </c>
      <c r="K9" s="85">
        <f t="shared" si="3"/>
        <v>720</v>
      </c>
      <c r="L9" s="82"/>
      <c r="M9" s="10"/>
      <c r="N9" s="10"/>
    </row>
    <row r="10" spans="1:21" s="12" customFormat="1">
      <c r="A10" s="2">
        <v>1</v>
      </c>
      <c r="B10" s="4" t="s">
        <v>24</v>
      </c>
      <c r="C10" s="4" t="s">
        <v>25</v>
      </c>
      <c r="D10" s="40">
        <f t="shared" ref="D10:E28" si="4">F10+H10+J10</f>
        <v>4</v>
      </c>
      <c r="E10" s="40">
        <f t="shared" si="4"/>
        <v>282</v>
      </c>
      <c r="F10" s="2">
        <v>2</v>
      </c>
      <c r="G10" s="87">
        <f>126+140</f>
        <v>266</v>
      </c>
      <c r="H10" s="2"/>
      <c r="I10" s="87"/>
      <c r="J10" s="2">
        <v>2</v>
      </c>
      <c r="K10" s="87">
        <f>8+8</f>
        <v>16</v>
      </c>
      <c r="L10" s="4"/>
      <c r="M10" s="36"/>
      <c r="N10" s="76"/>
      <c r="O10" s="76"/>
    </row>
    <row r="11" spans="1:21" s="12" customFormat="1">
      <c r="A11" s="2">
        <v>2</v>
      </c>
      <c r="B11" s="4" t="s">
        <v>24</v>
      </c>
      <c r="C11" s="4" t="s">
        <v>26</v>
      </c>
      <c r="D11" s="2">
        <f>'phường Quảng Trị'!E11+'phường Quảng Trị'!E12</f>
        <v>8</v>
      </c>
      <c r="E11" s="2">
        <f>'phường Quảng Trị'!F11+'phường Quảng Trị'!F12</f>
        <v>295</v>
      </c>
      <c r="F11" s="2">
        <f>'phường Quảng Trị'!G11+'phường Quảng Trị'!G12</f>
        <v>2</v>
      </c>
      <c r="G11" s="2">
        <f>'phường Quảng Trị'!H11+'phường Quảng Trị'!H12</f>
        <v>265</v>
      </c>
      <c r="H11" s="2">
        <f>'phường Quảng Trị'!I11+'phường Quảng Trị'!I12</f>
        <v>0</v>
      </c>
      <c r="I11" s="2">
        <f>'phường Quảng Trị'!J11+'phường Quảng Trị'!J12</f>
        <v>0</v>
      </c>
      <c r="J11" s="2">
        <f>'phường Quảng Trị'!K11+'phường Quảng Trị'!K12</f>
        <v>6</v>
      </c>
      <c r="K11" s="2">
        <f>'phường Quảng Trị'!L11+'phường Quảng Trị'!L12</f>
        <v>30</v>
      </c>
      <c r="L11" s="4" t="s">
        <v>267</v>
      </c>
      <c r="M11" s="36"/>
      <c r="N11" s="76"/>
      <c r="O11" s="76"/>
    </row>
    <row r="12" spans="1:21" s="12" customFormat="1">
      <c r="A12" s="2">
        <v>3</v>
      </c>
      <c r="B12" s="4" t="s">
        <v>24</v>
      </c>
      <c r="C12" s="4" t="s">
        <v>27</v>
      </c>
      <c r="D12" s="2">
        <f>'phường Quảng Trị'!E13+'phường Quảng Trị'!E14</f>
        <v>7</v>
      </c>
      <c r="E12" s="2">
        <f>'phường Quảng Trị'!F13+'phường Quảng Trị'!F14</f>
        <v>190</v>
      </c>
      <c r="F12" s="2">
        <f>'phường Quảng Trị'!G13+'phường Quảng Trị'!G14</f>
        <v>2</v>
      </c>
      <c r="G12" s="2">
        <f>'phường Quảng Trị'!H13+'phường Quảng Trị'!H14</f>
        <v>115</v>
      </c>
      <c r="H12" s="2">
        <f>'phường Quảng Trị'!I13+'phường Quảng Trị'!I14</f>
        <v>5</v>
      </c>
      <c r="I12" s="2">
        <f>'phường Quảng Trị'!J13+'phường Quảng Trị'!J14</f>
        <v>75</v>
      </c>
      <c r="J12" s="2">
        <f>'phường Quảng Trị'!K13+'phường Quảng Trị'!K14</f>
        <v>0</v>
      </c>
      <c r="K12" s="2">
        <f>'phường Quảng Trị'!L13+'phường Quảng Trị'!L14</f>
        <v>0</v>
      </c>
      <c r="L12" s="4" t="s">
        <v>267</v>
      </c>
      <c r="M12" s="36"/>
      <c r="N12" s="76"/>
      <c r="O12" s="76"/>
    </row>
    <row r="13" spans="1:21" s="12" customFormat="1">
      <c r="A13" s="2">
        <v>4</v>
      </c>
      <c r="B13" s="4" t="s">
        <v>24</v>
      </c>
      <c r="C13" s="4" t="s">
        <v>28</v>
      </c>
      <c r="D13" s="40">
        <f t="shared" si="4"/>
        <v>5</v>
      </c>
      <c r="E13" s="40">
        <f t="shared" si="4"/>
        <v>208</v>
      </c>
      <c r="F13" s="2">
        <v>2</v>
      </c>
      <c r="G13" s="87">
        <f>94+84</f>
        <v>178</v>
      </c>
      <c r="H13" s="2">
        <v>3</v>
      </c>
      <c r="I13" s="87">
        <f>10*3</f>
        <v>30</v>
      </c>
      <c r="J13" s="2"/>
      <c r="K13" s="87"/>
      <c r="L13" s="4"/>
      <c r="M13" s="36"/>
      <c r="N13" s="76"/>
      <c r="O13" s="76"/>
    </row>
    <row r="14" spans="1:21" s="12" customFormat="1">
      <c r="A14" s="2">
        <v>5</v>
      </c>
      <c r="B14" s="4" t="s">
        <v>24</v>
      </c>
      <c r="C14" s="4" t="s">
        <v>29</v>
      </c>
      <c r="D14" s="2">
        <f>'phường Quảng Trị'!E16+'phường Quảng Trị'!E17+'phường Quảng Trị'!E18</f>
        <v>53</v>
      </c>
      <c r="E14" s="2">
        <f>'phường Quảng Trị'!F16+'phường Quảng Trị'!F17+'phường Quảng Trị'!F18</f>
        <v>1271</v>
      </c>
      <c r="F14" s="2">
        <f>'phường Quảng Trị'!G16+'phường Quảng Trị'!G17+'phường Quảng Trị'!G18</f>
        <v>1</v>
      </c>
      <c r="G14" s="2">
        <f>'phường Quảng Trị'!H16+'phường Quảng Trị'!H17+'phường Quảng Trị'!H18</f>
        <v>190</v>
      </c>
      <c r="H14" s="2">
        <f>'phường Quảng Trị'!I16+'phường Quảng Trị'!I17+'phường Quảng Trị'!I18</f>
        <v>34</v>
      </c>
      <c r="I14" s="2">
        <f>'phường Quảng Trị'!J16+'phường Quảng Trị'!J17+'phường Quảng Trị'!J18</f>
        <v>964</v>
      </c>
      <c r="J14" s="2">
        <f>'phường Quảng Trị'!K16+'phường Quảng Trị'!K17+'phường Quảng Trị'!K18</f>
        <v>18</v>
      </c>
      <c r="K14" s="2">
        <f>'phường Quảng Trị'!L16+'phường Quảng Trị'!L17+'phường Quảng Trị'!L18</f>
        <v>117</v>
      </c>
      <c r="L14" s="4" t="s">
        <v>268</v>
      </c>
      <c r="M14" s="36"/>
      <c r="N14" s="76"/>
      <c r="O14" s="76"/>
    </row>
    <row r="15" spans="1:21" s="12" customFormat="1">
      <c r="A15" s="2">
        <v>6</v>
      </c>
      <c r="B15" s="4" t="s">
        <v>24</v>
      </c>
      <c r="C15" s="4" t="s">
        <v>30</v>
      </c>
      <c r="D15" s="2">
        <f>'phường Quảng Trị'!E19+'phường Quảng Trị'!E20</f>
        <v>2</v>
      </c>
      <c r="E15" s="2">
        <f>'phường Quảng Trị'!F19+'phường Quảng Trị'!F20</f>
        <v>84</v>
      </c>
      <c r="F15" s="2">
        <f>'phường Quảng Trị'!G19+'phường Quảng Trị'!G20</f>
        <v>0</v>
      </c>
      <c r="G15" s="2">
        <f>'phường Quảng Trị'!H19+'phường Quảng Trị'!H20</f>
        <v>0</v>
      </c>
      <c r="H15" s="2">
        <f>'phường Quảng Trị'!I19+'phường Quảng Trị'!I20</f>
        <v>2</v>
      </c>
      <c r="I15" s="2">
        <f>'phường Quảng Trị'!J19+'phường Quảng Trị'!J20</f>
        <v>84</v>
      </c>
      <c r="J15" s="2">
        <f>'phường Quảng Trị'!K19+'phường Quảng Trị'!K20</f>
        <v>0</v>
      </c>
      <c r="K15" s="2">
        <f>'phường Quảng Trị'!L19+'phường Quảng Trị'!L20</f>
        <v>0</v>
      </c>
      <c r="L15" s="4" t="s">
        <v>267</v>
      </c>
      <c r="M15" s="36"/>
      <c r="N15" s="76"/>
      <c r="O15" s="76"/>
    </row>
    <row r="16" spans="1:21" s="12" customFormat="1">
      <c r="A16" s="2">
        <v>7</v>
      </c>
      <c r="B16" s="4" t="s">
        <v>24</v>
      </c>
      <c r="C16" s="4" t="s">
        <v>31</v>
      </c>
      <c r="D16" s="2">
        <f>'phường Quảng Trị'!E21+'phường Quảng Trị'!E22+'phường Quảng Trị'!E23</f>
        <v>58</v>
      </c>
      <c r="E16" s="2">
        <f>'phường Quảng Trị'!F21+'phường Quảng Trị'!F22+'phường Quảng Trị'!F23</f>
        <v>2549</v>
      </c>
      <c r="F16" s="2">
        <f>'phường Quảng Trị'!G21+'phường Quảng Trị'!G22+'phường Quảng Trị'!G23</f>
        <v>2</v>
      </c>
      <c r="G16" s="2">
        <f>'phường Quảng Trị'!H21+'phường Quảng Trị'!H22+'phường Quảng Trị'!H23</f>
        <v>298</v>
      </c>
      <c r="H16" s="2">
        <f>'phường Quảng Trị'!I21+'phường Quảng Trị'!I22+'phường Quảng Trị'!I23</f>
        <v>55</v>
      </c>
      <c r="I16" s="2">
        <f>'phường Quảng Trị'!J21+'phường Quảng Trị'!J22+'phường Quảng Trị'!J23</f>
        <v>2245</v>
      </c>
      <c r="J16" s="2">
        <f>'phường Quảng Trị'!K21+'phường Quảng Trị'!K22+'phường Quảng Trị'!K23</f>
        <v>1</v>
      </c>
      <c r="K16" s="2">
        <f>'phường Quảng Trị'!L21+'phường Quảng Trị'!L22+'phường Quảng Trị'!L23</f>
        <v>6</v>
      </c>
      <c r="L16" s="4" t="s">
        <v>268</v>
      </c>
      <c r="M16" s="36"/>
      <c r="N16" s="76"/>
      <c r="O16" s="76"/>
    </row>
    <row r="17" spans="1:13">
      <c r="A17" s="2">
        <v>8</v>
      </c>
      <c r="B17" s="77" t="s">
        <v>24</v>
      </c>
      <c r="C17" s="7" t="s">
        <v>33</v>
      </c>
      <c r="D17" s="88">
        <f>'phường Quảng Trị'!E24+'phường Quảng Trị'!E25+'phường Quảng Trị'!E26</f>
        <v>8</v>
      </c>
      <c r="E17" s="88">
        <f>'phường Quảng Trị'!F24+'phường Quảng Trị'!F25+'phường Quảng Trị'!F26</f>
        <v>366</v>
      </c>
      <c r="F17" s="88">
        <f>'phường Quảng Trị'!G24+'phường Quảng Trị'!G25+'phường Quảng Trị'!G26</f>
        <v>2</v>
      </c>
      <c r="G17" s="88">
        <f>'phường Quảng Trị'!H24+'phường Quảng Trị'!H25+'phường Quảng Trị'!H26</f>
        <v>119</v>
      </c>
      <c r="H17" s="88">
        <f>'phường Quảng Trị'!I24+'phường Quảng Trị'!I25+'phường Quảng Trị'!I26</f>
        <v>4</v>
      </c>
      <c r="I17" s="88">
        <f>'phường Quảng Trị'!J24+'phường Quảng Trị'!J25+'phường Quảng Trị'!J26</f>
        <v>235</v>
      </c>
      <c r="J17" s="88">
        <f>'phường Quảng Trị'!K24+'phường Quảng Trị'!K25+'phường Quảng Trị'!K26</f>
        <v>2</v>
      </c>
      <c r="K17" s="88">
        <f>'phường Quảng Trị'!L24+'phường Quảng Trị'!L25+'phường Quảng Trị'!L26</f>
        <v>12</v>
      </c>
      <c r="L17" s="4" t="s">
        <v>268</v>
      </c>
      <c r="M17" s="36"/>
    </row>
    <row r="18" spans="1:13">
      <c r="A18" s="2">
        <v>9</v>
      </c>
      <c r="B18" s="77" t="s">
        <v>24</v>
      </c>
      <c r="C18" s="7" t="s">
        <v>34</v>
      </c>
      <c r="D18" s="40">
        <f t="shared" si="4"/>
        <v>13</v>
      </c>
      <c r="E18" s="40">
        <f t="shared" si="4"/>
        <v>130</v>
      </c>
      <c r="F18" s="89"/>
      <c r="G18" s="89"/>
      <c r="H18" s="89">
        <v>13</v>
      </c>
      <c r="I18" s="89">
        <v>130</v>
      </c>
      <c r="J18" s="89"/>
      <c r="K18" s="90"/>
      <c r="L18" s="4"/>
      <c r="M18" s="36"/>
    </row>
    <row r="19" spans="1:13">
      <c r="A19" s="2">
        <v>10</v>
      </c>
      <c r="B19" s="77" t="s">
        <v>24</v>
      </c>
      <c r="C19" s="4" t="s">
        <v>324</v>
      </c>
      <c r="D19" s="40">
        <f t="shared" si="4"/>
        <v>2</v>
      </c>
      <c r="E19" s="40">
        <f t="shared" si="4"/>
        <v>40</v>
      </c>
      <c r="F19" s="4"/>
      <c r="G19" s="4"/>
      <c r="H19" s="4">
        <v>2</v>
      </c>
      <c r="I19" s="4">
        <v>40</v>
      </c>
      <c r="J19" s="4"/>
      <c r="K19" s="4"/>
      <c r="L19" s="4"/>
      <c r="M19" s="36"/>
    </row>
    <row r="20" spans="1:13">
      <c r="A20" s="2">
        <v>11</v>
      </c>
      <c r="B20" s="77" t="s">
        <v>24</v>
      </c>
      <c r="C20" s="4" t="s">
        <v>35</v>
      </c>
      <c r="D20" s="4">
        <f>'phường Quảng Trị'!E29+'phường Quảng Trị'!E30</f>
        <v>32</v>
      </c>
      <c r="E20" s="4">
        <f>'phường Quảng Trị'!F29+'phường Quảng Trị'!F30</f>
        <v>1551</v>
      </c>
      <c r="F20" s="4">
        <f>'phường Quảng Trị'!G29+'phường Quảng Trị'!G30</f>
        <v>2</v>
      </c>
      <c r="G20" s="4">
        <f>'phường Quảng Trị'!H29+'phường Quảng Trị'!H30</f>
        <v>317</v>
      </c>
      <c r="H20" s="4">
        <f>'phường Quảng Trị'!I29+'phường Quảng Trị'!I30</f>
        <v>30</v>
      </c>
      <c r="I20" s="4">
        <f>'phường Quảng Trị'!J29+'phường Quảng Trị'!J30</f>
        <v>1234</v>
      </c>
      <c r="J20" s="4">
        <f>'phường Quảng Trị'!K29+'phường Quảng Trị'!K30</f>
        <v>0</v>
      </c>
      <c r="K20" s="4">
        <f>'phường Quảng Trị'!L29+'phường Quảng Trị'!L30</f>
        <v>0</v>
      </c>
      <c r="L20" s="4" t="s">
        <v>267</v>
      </c>
      <c r="M20" s="36"/>
    </row>
    <row r="21" spans="1:13">
      <c r="A21" s="2">
        <v>12</v>
      </c>
      <c r="B21" s="77" t="s">
        <v>24</v>
      </c>
      <c r="C21" s="4" t="s">
        <v>36</v>
      </c>
      <c r="D21" s="4">
        <f>'phường Quảng Trị'!E31+'phường Quảng Trị'!E32</f>
        <v>2</v>
      </c>
      <c r="E21" s="4">
        <f>'phường Quảng Trị'!F31+'phường Quảng Trị'!F32</f>
        <v>177</v>
      </c>
      <c r="F21" s="4">
        <f>'phường Quảng Trị'!G31+'phường Quảng Trị'!G32</f>
        <v>2</v>
      </c>
      <c r="G21" s="4">
        <f>'phường Quảng Trị'!H31+'phường Quảng Trị'!H32</f>
        <v>177</v>
      </c>
      <c r="H21" s="4">
        <f>'phường Quảng Trị'!I31+'phường Quảng Trị'!I32</f>
        <v>0</v>
      </c>
      <c r="I21" s="4">
        <f>'phường Quảng Trị'!J31+'phường Quảng Trị'!J32</f>
        <v>0</v>
      </c>
      <c r="J21" s="4">
        <f>'phường Quảng Trị'!K31+'phường Quảng Trị'!K32</f>
        <v>0</v>
      </c>
      <c r="K21" s="4">
        <f>'phường Quảng Trị'!L31+'phường Quảng Trị'!L32</f>
        <v>0</v>
      </c>
      <c r="L21" s="4" t="s">
        <v>267</v>
      </c>
      <c r="M21" s="36"/>
    </row>
    <row r="22" spans="1:13">
      <c r="A22" s="2">
        <v>13</v>
      </c>
      <c r="B22" s="77" t="s">
        <v>24</v>
      </c>
      <c r="C22" s="4" t="s">
        <v>37</v>
      </c>
      <c r="D22" s="4">
        <f>'phường Quảng Trị'!E33+'phường Quảng Trị'!E34</f>
        <v>14</v>
      </c>
      <c r="E22" s="4">
        <f>'phường Quảng Trị'!F33+'phường Quảng Trị'!F34</f>
        <v>1037</v>
      </c>
      <c r="F22" s="4">
        <f>'phường Quảng Trị'!G33+'phường Quảng Trị'!G34</f>
        <v>4</v>
      </c>
      <c r="G22" s="4">
        <f>'phường Quảng Trị'!H33+'phường Quảng Trị'!H34</f>
        <v>1007</v>
      </c>
      <c r="H22" s="4">
        <f>'phường Quảng Trị'!I33+'phường Quảng Trị'!I34</f>
        <v>0</v>
      </c>
      <c r="I22" s="4">
        <f>'phường Quảng Trị'!J33+'phường Quảng Trị'!J34</f>
        <v>0</v>
      </c>
      <c r="J22" s="4">
        <f>'phường Quảng Trị'!K33+'phường Quảng Trị'!K34</f>
        <v>10</v>
      </c>
      <c r="K22" s="4">
        <f>'phường Quảng Trị'!L33+'phường Quảng Trị'!L34</f>
        <v>30</v>
      </c>
      <c r="L22" s="4" t="s">
        <v>267</v>
      </c>
      <c r="M22" s="36"/>
    </row>
    <row r="23" spans="1:13">
      <c r="A23" s="2">
        <v>14</v>
      </c>
      <c r="B23" s="77" t="s">
        <v>24</v>
      </c>
      <c r="C23" s="4" t="s">
        <v>38</v>
      </c>
      <c r="D23" s="4">
        <f t="shared" si="4"/>
        <v>1</v>
      </c>
      <c r="E23" s="40">
        <f t="shared" si="4"/>
        <v>98</v>
      </c>
      <c r="F23" s="4">
        <v>1</v>
      </c>
      <c r="G23" s="4">
        <v>98</v>
      </c>
      <c r="H23" s="4"/>
      <c r="I23" s="4"/>
      <c r="J23" s="4"/>
      <c r="K23" s="4"/>
      <c r="L23" s="4"/>
      <c r="M23" s="36"/>
    </row>
    <row r="24" spans="1:13">
      <c r="A24" s="2">
        <v>15</v>
      </c>
      <c r="B24" s="77" t="s">
        <v>24</v>
      </c>
      <c r="C24" s="4" t="s">
        <v>39</v>
      </c>
      <c r="D24" s="4">
        <f t="shared" si="4"/>
        <v>3</v>
      </c>
      <c r="E24" s="40">
        <f t="shared" si="4"/>
        <v>272</v>
      </c>
      <c r="F24" s="4">
        <v>2</v>
      </c>
      <c r="G24" s="4">
        <f>105+142</f>
        <v>247</v>
      </c>
      <c r="H24" s="4">
        <v>1</v>
      </c>
      <c r="I24" s="4">
        <v>25</v>
      </c>
      <c r="J24" s="4"/>
      <c r="K24" s="4"/>
      <c r="L24" s="4"/>
      <c r="M24" s="36"/>
    </row>
    <row r="25" spans="1:13">
      <c r="A25" s="2">
        <v>16</v>
      </c>
      <c r="B25" s="77" t="s">
        <v>24</v>
      </c>
      <c r="C25" s="4" t="s">
        <v>245</v>
      </c>
      <c r="D25" s="4">
        <f t="shared" si="4"/>
        <v>1</v>
      </c>
      <c r="E25" s="40">
        <f t="shared" si="4"/>
        <v>127</v>
      </c>
      <c r="F25" s="4">
        <v>1</v>
      </c>
      <c r="G25" s="4">
        <v>127</v>
      </c>
      <c r="H25" s="4"/>
      <c r="I25" s="4"/>
      <c r="J25" s="4"/>
      <c r="K25" s="4"/>
      <c r="L25" s="4"/>
      <c r="M25" s="36"/>
    </row>
    <row r="26" spans="1:13">
      <c r="A26" s="2">
        <v>17</v>
      </c>
      <c r="B26" s="77" t="s">
        <v>24</v>
      </c>
      <c r="C26" s="4" t="s">
        <v>325</v>
      </c>
      <c r="D26" s="4">
        <f t="shared" si="4"/>
        <v>1</v>
      </c>
      <c r="E26" s="4">
        <f t="shared" si="4"/>
        <v>269</v>
      </c>
      <c r="F26" s="4">
        <v>1</v>
      </c>
      <c r="G26" s="4">
        <v>269</v>
      </c>
      <c r="H26" s="4"/>
      <c r="I26" s="4"/>
      <c r="J26" s="4"/>
      <c r="K26" s="4"/>
      <c r="L26" s="4"/>
      <c r="M26" s="36"/>
    </row>
    <row r="27" spans="1:13">
      <c r="A27" s="2">
        <v>18</v>
      </c>
      <c r="B27" s="77" t="s">
        <v>24</v>
      </c>
      <c r="C27" s="4" t="s">
        <v>40</v>
      </c>
      <c r="D27" s="4">
        <f>'phường Quảng Trị'!E39+'phường Quảng Trị'!E40</f>
        <v>14</v>
      </c>
      <c r="E27" s="4">
        <f>'phường Quảng Trị'!F39+'phường Quảng Trị'!F40</f>
        <v>183</v>
      </c>
      <c r="F27" s="4">
        <f>'phường Quảng Trị'!G39+'phường Quảng Trị'!G40</f>
        <v>2</v>
      </c>
      <c r="G27" s="4">
        <f>'phường Quảng Trị'!H39+'phường Quảng Trị'!H40</f>
        <v>135</v>
      </c>
      <c r="H27" s="4">
        <f>'phường Quảng Trị'!I39+'phường Quảng Trị'!I40</f>
        <v>0</v>
      </c>
      <c r="I27" s="4">
        <f>'phường Quảng Trị'!J39+'phường Quảng Trị'!J40</f>
        <v>0</v>
      </c>
      <c r="J27" s="4">
        <f>'phường Quảng Trị'!K39+'phường Quảng Trị'!K40</f>
        <v>12</v>
      </c>
      <c r="K27" s="4">
        <f>'phường Quảng Trị'!L39+'phường Quảng Trị'!L40</f>
        <v>48</v>
      </c>
      <c r="L27" s="4" t="s">
        <v>267</v>
      </c>
      <c r="M27" s="36"/>
    </row>
    <row r="28" spans="1:13">
      <c r="A28" s="2">
        <v>19</v>
      </c>
      <c r="B28" s="4" t="s">
        <v>24</v>
      </c>
      <c r="C28" s="4" t="s">
        <v>41</v>
      </c>
      <c r="D28" s="4">
        <f t="shared" si="4"/>
        <v>5</v>
      </c>
      <c r="E28" s="4">
        <f t="shared" si="4"/>
        <v>134</v>
      </c>
      <c r="F28" s="4">
        <v>1</v>
      </c>
      <c r="G28" s="4">
        <v>130</v>
      </c>
      <c r="H28" s="4"/>
      <c r="I28" s="4"/>
      <c r="J28" s="4">
        <v>4</v>
      </c>
      <c r="K28" s="4">
        <v>4</v>
      </c>
      <c r="L28" s="4"/>
      <c r="M28" s="36"/>
    </row>
    <row r="29" spans="1:13">
      <c r="A29" s="2">
        <v>20</v>
      </c>
      <c r="B29" s="4" t="s">
        <v>24</v>
      </c>
      <c r="C29" s="4" t="s">
        <v>43</v>
      </c>
      <c r="D29" s="4">
        <f t="shared" ref="D29:E42" si="5">F29+H29+J29</f>
        <v>1</v>
      </c>
      <c r="E29" s="4">
        <f t="shared" si="5"/>
        <v>130</v>
      </c>
      <c r="F29" s="4">
        <v>1</v>
      </c>
      <c r="G29" s="4">
        <v>130</v>
      </c>
      <c r="H29" s="4"/>
      <c r="I29" s="4"/>
      <c r="J29" s="4"/>
      <c r="K29" s="4"/>
      <c r="L29" s="4"/>
      <c r="M29" s="36"/>
    </row>
    <row r="30" spans="1:13">
      <c r="A30" s="2">
        <v>21</v>
      </c>
      <c r="B30" s="4" t="s">
        <v>24</v>
      </c>
      <c r="C30" s="4" t="s">
        <v>44</v>
      </c>
      <c r="D30" s="4">
        <f>'phường Quảng Trị'!E43+'phường Quảng Trị'!E44+'phường Quảng Trị'!E45</f>
        <v>8</v>
      </c>
      <c r="E30" s="4">
        <f>'phường Quảng Trị'!F43+'phường Quảng Trị'!F44+'phường Quảng Trị'!F45</f>
        <v>214</v>
      </c>
      <c r="F30" s="4">
        <f>'phường Quảng Trị'!G43+'phường Quảng Trị'!G44+'phường Quảng Trị'!G45</f>
        <v>2</v>
      </c>
      <c r="G30" s="4">
        <f>'phường Quảng Trị'!H43+'phường Quảng Trị'!H44+'phường Quảng Trị'!H45</f>
        <v>156</v>
      </c>
      <c r="H30" s="4">
        <f>'phường Quảng Trị'!I43+'phường Quảng Trị'!I44+'phường Quảng Trị'!I45</f>
        <v>4</v>
      </c>
      <c r="I30" s="4">
        <f>'phường Quảng Trị'!J43+'phường Quảng Trị'!J44+'phường Quảng Trị'!J45</f>
        <v>44</v>
      </c>
      <c r="J30" s="4">
        <f>'phường Quảng Trị'!K43+'phường Quảng Trị'!K44+'phường Quảng Trị'!K45</f>
        <v>2</v>
      </c>
      <c r="K30" s="4">
        <f>'phường Quảng Trị'!L43+'phường Quảng Trị'!L44+'phường Quảng Trị'!L45</f>
        <v>14</v>
      </c>
      <c r="L30" s="4" t="s">
        <v>268</v>
      </c>
      <c r="M30" s="36"/>
    </row>
    <row r="31" spans="1:13">
      <c r="A31" s="2">
        <v>22</v>
      </c>
      <c r="B31" s="4" t="s">
        <v>24</v>
      </c>
      <c r="C31" s="4" t="s">
        <v>49</v>
      </c>
      <c r="D31" s="2">
        <f>'phường Quảng Trị'!E46+'phường Quảng Trị'!E47</f>
        <v>30</v>
      </c>
      <c r="E31" s="2">
        <f>'phường Quảng Trị'!F46+'phường Quảng Trị'!F47</f>
        <v>628</v>
      </c>
      <c r="F31" s="2">
        <f>'phường Quảng Trị'!G46+'phường Quảng Trị'!G47</f>
        <v>2</v>
      </c>
      <c r="G31" s="2">
        <f>'phường Quảng Trị'!H46+'phường Quảng Trị'!H47</f>
        <v>522</v>
      </c>
      <c r="H31" s="2">
        <f>'phường Quảng Trị'!I46+'phường Quảng Trị'!I47</f>
        <v>0</v>
      </c>
      <c r="I31" s="2">
        <f>'phường Quảng Trị'!J46+'phường Quảng Trị'!J47</f>
        <v>0</v>
      </c>
      <c r="J31" s="2">
        <f>'phường Quảng Trị'!K46+'phường Quảng Trị'!K47</f>
        <v>28</v>
      </c>
      <c r="K31" s="2">
        <f>'phường Quảng Trị'!L46+'phường Quảng Trị'!L47</f>
        <v>106</v>
      </c>
      <c r="L31" s="4" t="s">
        <v>267</v>
      </c>
      <c r="M31" s="79"/>
    </row>
    <row r="32" spans="1:13">
      <c r="A32" s="2">
        <v>23</v>
      </c>
      <c r="B32" s="4" t="s">
        <v>24</v>
      </c>
      <c r="C32" s="4" t="s">
        <v>322</v>
      </c>
      <c r="D32" s="4">
        <f t="shared" si="5"/>
        <v>11</v>
      </c>
      <c r="E32" s="6">
        <f t="shared" si="5"/>
        <v>248</v>
      </c>
      <c r="F32" s="4">
        <v>1</v>
      </c>
      <c r="G32" s="4">
        <v>50</v>
      </c>
      <c r="H32" s="4">
        <v>10</v>
      </c>
      <c r="I32" s="4">
        <f>39+40+39+41+39</f>
        <v>198</v>
      </c>
      <c r="J32" s="4"/>
      <c r="K32" s="4"/>
      <c r="L32" s="4"/>
      <c r="M32" s="36"/>
    </row>
    <row r="33" spans="1:13">
      <c r="A33" s="2">
        <v>24</v>
      </c>
      <c r="B33" s="4" t="s">
        <v>24</v>
      </c>
      <c r="C33" s="4" t="s">
        <v>51</v>
      </c>
      <c r="D33" s="4">
        <f t="shared" si="5"/>
        <v>2</v>
      </c>
      <c r="E33" s="6">
        <f t="shared" si="5"/>
        <v>106</v>
      </c>
      <c r="F33" s="4">
        <v>1</v>
      </c>
      <c r="G33" s="4">
        <v>56</v>
      </c>
      <c r="H33" s="4">
        <v>1</v>
      </c>
      <c r="I33" s="4">
        <v>50</v>
      </c>
      <c r="J33" s="4"/>
      <c r="K33" s="4"/>
      <c r="L33" s="4"/>
      <c r="M33" s="36"/>
    </row>
    <row r="34" spans="1:13">
      <c r="A34" s="2">
        <v>25</v>
      </c>
      <c r="B34" s="4" t="s">
        <v>24</v>
      </c>
      <c r="C34" s="4" t="s">
        <v>52</v>
      </c>
      <c r="D34" s="4">
        <f t="shared" si="5"/>
        <v>3</v>
      </c>
      <c r="E34" s="6">
        <f t="shared" si="5"/>
        <v>185</v>
      </c>
      <c r="F34" s="4">
        <f>3</f>
        <v>3</v>
      </c>
      <c r="G34" s="4">
        <f>62+60+63</f>
        <v>185</v>
      </c>
      <c r="H34" s="4"/>
      <c r="I34" s="4"/>
      <c r="J34" s="4"/>
      <c r="K34" s="4"/>
      <c r="L34" s="4"/>
      <c r="M34" s="36"/>
    </row>
    <row r="35" spans="1:13">
      <c r="A35" s="2">
        <v>26</v>
      </c>
      <c r="B35" s="4" t="s">
        <v>24</v>
      </c>
      <c r="C35" s="4" t="s">
        <v>53</v>
      </c>
      <c r="D35" s="4">
        <f t="shared" si="5"/>
        <v>11</v>
      </c>
      <c r="E35" s="6">
        <f t="shared" si="5"/>
        <v>195</v>
      </c>
      <c r="F35" s="4">
        <v>1</v>
      </c>
      <c r="G35" s="4">
        <v>155</v>
      </c>
      <c r="H35" s="4"/>
      <c r="I35" s="4"/>
      <c r="J35" s="4">
        <v>10</v>
      </c>
      <c r="K35" s="4">
        <v>40</v>
      </c>
      <c r="L35" s="4"/>
      <c r="M35" s="36"/>
    </row>
    <row r="36" spans="1:13">
      <c r="A36" s="2">
        <v>27</v>
      </c>
      <c r="B36" s="4" t="s">
        <v>24</v>
      </c>
      <c r="C36" s="4" t="s">
        <v>54</v>
      </c>
      <c r="D36" s="4">
        <f t="shared" si="5"/>
        <v>6</v>
      </c>
      <c r="E36" s="6">
        <f t="shared" si="5"/>
        <v>714</v>
      </c>
      <c r="F36" s="4">
        <v>2</v>
      </c>
      <c r="G36" s="4">
        <f>340+330</f>
        <v>670</v>
      </c>
      <c r="H36" s="4">
        <v>1</v>
      </c>
      <c r="I36" s="4">
        <v>35</v>
      </c>
      <c r="J36" s="4">
        <v>3</v>
      </c>
      <c r="K36" s="4">
        <v>9</v>
      </c>
      <c r="L36" s="4"/>
      <c r="M36" s="36"/>
    </row>
    <row r="37" spans="1:13">
      <c r="A37" s="2">
        <v>28</v>
      </c>
      <c r="B37" s="4" t="s">
        <v>24</v>
      </c>
      <c r="C37" s="4" t="s">
        <v>135</v>
      </c>
      <c r="D37" s="4">
        <f>'phường Quảng Trị'!E53+'phường Quảng Trị'!E54</f>
        <v>9</v>
      </c>
      <c r="E37" s="4">
        <f>'phường Quảng Trị'!F53+'phường Quảng Trị'!F54</f>
        <v>461</v>
      </c>
      <c r="F37" s="4">
        <f>'phường Quảng Trị'!G53+'phường Quảng Trị'!G54</f>
        <v>2</v>
      </c>
      <c r="G37" s="4">
        <f>'phường Quảng Trị'!H53+'phường Quảng Trị'!H54</f>
        <v>405</v>
      </c>
      <c r="H37" s="4">
        <f>'phường Quảng Trị'!I53+'phường Quảng Trị'!I54</f>
        <v>0</v>
      </c>
      <c r="I37" s="4">
        <f>'phường Quảng Trị'!J53+'phường Quảng Trị'!J54</f>
        <v>0</v>
      </c>
      <c r="J37" s="4">
        <f>'phường Quảng Trị'!K53+'phường Quảng Trị'!K54</f>
        <v>7</v>
      </c>
      <c r="K37" s="4">
        <f>'phường Quảng Trị'!L53+'phường Quảng Trị'!L54</f>
        <v>56</v>
      </c>
      <c r="L37" s="4" t="s">
        <v>267</v>
      </c>
      <c r="M37" s="36"/>
    </row>
    <row r="38" spans="1:13">
      <c r="A38" s="2">
        <v>29</v>
      </c>
      <c r="B38" s="4" t="s">
        <v>24</v>
      </c>
      <c r="C38" s="4" t="s">
        <v>326</v>
      </c>
      <c r="D38" s="4">
        <f t="shared" si="5"/>
        <v>1</v>
      </c>
      <c r="E38" s="6">
        <f t="shared" si="5"/>
        <v>121</v>
      </c>
      <c r="F38" s="4">
        <v>1</v>
      </c>
      <c r="G38" s="4">
        <v>121</v>
      </c>
      <c r="H38" s="4"/>
      <c r="I38" s="4"/>
      <c r="J38" s="4"/>
      <c r="K38" s="4"/>
      <c r="L38" s="4"/>
      <c r="M38" s="36"/>
    </row>
    <row r="39" spans="1:13">
      <c r="A39" s="2">
        <v>30</v>
      </c>
      <c r="B39" s="4" t="s">
        <v>24</v>
      </c>
      <c r="C39" s="4" t="s">
        <v>55</v>
      </c>
      <c r="D39" s="4">
        <f>'phường Quảng Trị'!E56+'phường Quảng Trị'!E57</f>
        <v>11</v>
      </c>
      <c r="E39" s="4">
        <f>'phường Quảng Trị'!F56+'phường Quảng Trị'!F57</f>
        <v>201</v>
      </c>
      <c r="F39" s="4">
        <f>'phường Quảng Trị'!G56+'phường Quảng Trị'!G57</f>
        <v>1</v>
      </c>
      <c r="G39" s="4">
        <f>'phường Quảng Trị'!H56+'phường Quảng Trị'!H57</f>
        <v>121</v>
      </c>
      <c r="H39" s="4">
        <f>'phường Quảng Trị'!I56+'phường Quảng Trị'!I57</f>
        <v>0</v>
      </c>
      <c r="I39" s="4">
        <f>'phường Quảng Trị'!J56+'phường Quảng Trị'!J57</f>
        <v>0</v>
      </c>
      <c r="J39" s="4">
        <f>'phường Quảng Trị'!K56+'phường Quảng Trị'!K57</f>
        <v>10</v>
      </c>
      <c r="K39" s="4">
        <f>'phường Quảng Trị'!L56+'phường Quảng Trị'!L57</f>
        <v>80</v>
      </c>
      <c r="L39" s="4" t="s">
        <v>267</v>
      </c>
      <c r="M39" s="36"/>
    </row>
    <row r="40" spans="1:13">
      <c r="A40" s="2">
        <v>31</v>
      </c>
      <c r="B40" s="4" t="s">
        <v>24</v>
      </c>
      <c r="C40" s="4" t="s">
        <v>56</v>
      </c>
      <c r="D40" s="4">
        <f>'phường Quảng Trị'!E58+'phường Quảng Trị'!E59+'phường Quảng Trị'!E60</f>
        <v>17</v>
      </c>
      <c r="E40" s="4">
        <f>'phường Quảng Trị'!F58+'phường Quảng Trị'!F59+'phường Quảng Trị'!F60</f>
        <v>1109</v>
      </c>
      <c r="F40" s="4">
        <f>'phường Quảng Trị'!G58+'phường Quảng Trị'!G59+'phường Quảng Trị'!G60</f>
        <v>5</v>
      </c>
      <c r="G40" s="4">
        <f>'phường Quảng Trị'!H58+'phường Quảng Trị'!H59+'phường Quảng Trị'!H60</f>
        <v>1073</v>
      </c>
      <c r="H40" s="4">
        <f>'phường Quảng Trị'!I58+'phường Quảng Trị'!I59+'phường Quảng Trị'!I60</f>
        <v>0</v>
      </c>
      <c r="I40" s="4">
        <f>'phường Quảng Trị'!J58+'phường Quảng Trị'!J59+'phường Quảng Trị'!J60</f>
        <v>0</v>
      </c>
      <c r="J40" s="4">
        <f>'phường Quảng Trị'!K58+'phường Quảng Trị'!K59+'phường Quảng Trị'!K60</f>
        <v>12</v>
      </c>
      <c r="K40" s="4">
        <f>'phường Quảng Trị'!L58+'phường Quảng Trị'!L59+'phường Quảng Trị'!L60</f>
        <v>36</v>
      </c>
      <c r="L40" s="4" t="s">
        <v>268</v>
      </c>
      <c r="M40" s="36"/>
    </row>
    <row r="41" spans="1:13">
      <c r="A41" s="2">
        <v>32</v>
      </c>
      <c r="B41" s="7" t="s">
        <v>24</v>
      </c>
      <c r="C41" s="7" t="s">
        <v>63</v>
      </c>
      <c r="D41" s="7">
        <f t="shared" si="5"/>
        <v>4</v>
      </c>
      <c r="E41" s="7">
        <f t="shared" si="5"/>
        <v>422</v>
      </c>
      <c r="F41" s="7">
        <f>2</f>
        <v>2</v>
      </c>
      <c r="G41" s="7">
        <f>151+179</f>
        <v>330</v>
      </c>
      <c r="H41" s="7">
        <v>2</v>
      </c>
      <c r="I41" s="7">
        <f>51+41</f>
        <v>92</v>
      </c>
      <c r="J41" s="7"/>
      <c r="K41" s="7"/>
      <c r="L41" s="7"/>
      <c r="M41" s="36"/>
    </row>
    <row r="42" spans="1:13">
      <c r="A42" s="2">
        <v>33</v>
      </c>
      <c r="B42" s="4" t="s">
        <v>24</v>
      </c>
      <c r="C42" s="4" t="s">
        <v>64</v>
      </c>
      <c r="D42" s="4">
        <f t="shared" si="5"/>
        <v>2</v>
      </c>
      <c r="E42" s="4">
        <f t="shared" si="5"/>
        <v>89</v>
      </c>
      <c r="F42" s="4"/>
      <c r="G42" s="4"/>
      <c r="H42" s="4">
        <v>2</v>
      </c>
      <c r="I42" s="4">
        <f>48+41</f>
        <v>89</v>
      </c>
      <c r="J42" s="4"/>
      <c r="K42" s="4"/>
      <c r="L42" s="4"/>
      <c r="M42" s="36"/>
    </row>
    <row r="43" spans="1:13">
      <c r="A43" s="2">
        <v>34</v>
      </c>
      <c r="B43" s="4" t="s">
        <v>24</v>
      </c>
      <c r="C43" s="4" t="s">
        <v>65</v>
      </c>
      <c r="D43" s="4">
        <f>'phường Quảng Trị'!E63+'phường Quảng Trị'!E64</f>
        <v>4</v>
      </c>
      <c r="E43" s="4">
        <f>'phường Quảng Trị'!F63+'phường Quảng Trị'!F64</f>
        <v>599</v>
      </c>
      <c r="F43" s="4">
        <f>'phường Quảng Trị'!G63+'phường Quảng Trị'!G64</f>
        <v>3</v>
      </c>
      <c r="G43" s="4">
        <f>'phường Quảng Trị'!H63+'phường Quảng Trị'!H64</f>
        <v>592</v>
      </c>
      <c r="H43" s="4">
        <f>'phường Quảng Trị'!I63+'phường Quảng Trị'!I64</f>
        <v>0</v>
      </c>
      <c r="I43" s="4">
        <f>'phường Quảng Trị'!J63+'phường Quảng Trị'!J64</f>
        <v>0</v>
      </c>
      <c r="J43" s="4">
        <f>'phường Quảng Trị'!K63+'phường Quảng Trị'!K64</f>
        <v>1</v>
      </c>
      <c r="K43" s="4">
        <f>'phường Quảng Trị'!L63+'phường Quảng Trị'!L64</f>
        <v>7</v>
      </c>
      <c r="L43" s="4" t="s">
        <v>267</v>
      </c>
      <c r="M43" s="36"/>
    </row>
    <row r="44" spans="1:13">
      <c r="A44" s="2">
        <v>35</v>
      </c>
      <c r="B44" s="4" t="s">
        <v>24</v>
      </c>
      <c r="C44" s="4" t="s">
        <v>66</v>
      </c>
      <c r="D44" s="4">
        <f>'phường Quảng Trị'!E65+'phường Quảng Trị'!E66</f>
        <v>4</v>
      </c>
      <c r="E44" s="4">
        <f>'phường Quảng Trị'!F65+'phường Quảng Trị'!F66</f>
        <v>643</v>
      </c>
      <c r="F44" s="4">
        <f>'phường Quảng Trị'!G65+'phường Quảng Trị'!G66</f>
        <v>2</v>
      </c>
      <c r="G44" s="4">
        <f>'phường Quảng Trị'!H65+'phường Quảng Trị'!H66</f>
        <v>520</v>
      </c>
      <c r="H44" s="4">
        <f>'phường Quảng Trị'!I65+'phường Quảng Trị'!I66</f>
        <v>2</v>
      </c>
      <c r="I44" s="4">
        <f>'phường Quảng Trị'!J65+'phường Quảng Trị'!J66</f>
        <v>123</v>
      </c>
      <c r="J44" s="4">
        <f>'phường Quảng Trị'!K65+'phường Quảng Trị'!K66</f>
        <v>0</v>
      </c>
      <c r="K44" s="4">
        <f>'phường Quảng Trị'!L65+'phường Quảng Trị'!L66</f>
        <v>0</v>
      </c>
      <c r="L44" s="4" t="s">
        <v>267</v>
      </c>
      <c r="M44" s="36"/>
    </row>
    <row r="45" spans="1:13" s="12" customFormat="1">
      <c r="A45" s="78">
        <v>36</v>
      </c>
      <c r="B45" s="7" t="s">
        <v>24</v>
      </c>
      <c r="C45" s="7" t="s">
        <v>67</v>
      </c>
      <c r="D45" s="7">
        <f>'phường Quảng Trị'!E67+'phường Quảng Trị'!E68+'phường Quảng Trị'!E69+'phường Quảng Trị'!E70</f>
        <v>14</v>
      </c>
      <c r="E45" s="7">
        <f>'phường Quảng Trị'!F67+'phường Quảng Trị'!F68+'phường Quảng Trị'!F69+'phường Quảng Trị'!F70</f>
        <v>708</v>
      </c>
      <c r="F45" s="7">
        <f>'phường Quảng Trị'!G67+'phường Quảng Trị'!G68+'phường Quảng Trị'!G69+'phường Quảng Trị'!G70</f>
        <v>6</v>
      </c>
      <c r="G45" s="7">
        <f>'phường Quảng Trị'!H67+'phường Quảng Trị'!H68+'phường Quảng Trị'!H69+'phường Quảng Trị'!H70</f>
        <v>639</v>
      </c>
      <c r="H45" s="7">
        <f>'phường Quảng Trị'!I67+'phường Quảng Trị'!I68+'phường Quảng Trị'!I69+'phường Quảng Trị'!I70</f>
        <v>8</v>
      </c>
      <c r="I45" s="7">
        <f>'phường Quảng Trị'!J67+'phường Quảng Trị'!J68+'phường Quảng Trị'!J69+'phường Quảng Trị'!J70</f>
        <v>69</v>
      </c>
      <c r="J45" s="7">
        <f>'phường Quảng Trị'!K67+'phường Quảng Trị'!K68+'phường Quảng Trị'!K69+'phường Quảng Trị'!K70</f>
        <v>0</v>
      </c>
      <c r="K45" s="7">
        <f>'phường Quảng Trị'!L67+'phường Quảng Trị'!L68+'phường Quảng Trị'!L69+'phường Quảng Trị'!L70</f>
        <v>0</v>
      </c>
      <c r="L45" s="7" t="s">
        <v>269</v>
      </c>
      <c r="M45" s="80"/>
    </row>
    <row r="46" spans="1:13">
      <c r="A46" s="2">
        <v>37</v>
      </c>
      <c r="B46" s="4" t="s">
        <v>24</v>
      </c>
      <c r="C46" s="4" t="s">
        <v>74</v>
      </c>
      <c r="D46" s="4">
        <f t="shared" ref="D46:E53" si="6">F46+H46+J46</f>
        <v>2</v>
      </c>
      <c r="E46" s="4">
        <f t="shared" si="6"/>
        <v>89</v>
      </c>
      <c r="F46" s="4"/>
      <c r="G46" s="4"/>
      <c r="H46" s="4">
        <v>2</v>
      </c>
      <c r="I46" s="4">
        <v>89</v>
      </c>
      <c r="J46" s="4"/>
      <c r="K46" s="4"/>
      <c r="L46" s="4"/>
      <c r="M46" s="36"/>
    </row>
    <row r="47" spans="1:13">
      <c r="A47" s="2">
        <v>38</v>
      </c>
      <c r="B47" s="4" t="s">
        <v>24</v>
      </c>
      <c r="C47" s="4" t="s">
        <v>75</v>
      </c>
      <c r="D47" s="4">
        <f t="shared" si="6"/>
        <v>3</v>
      </c>
      <c r="E47" s="4">
        <f t="shared" si="6"/>
        <v>127</v>
      </c>
      <c r="F47" s="4"/>
      <c r="G47" s="4"/>
      <c r="H47" s="4">
        <v>3</v>
      </c>
      <c r="I47" s="4">
        <v>127</v>
      </c>
      <c r="J47" s="4"/>
      <c r="K47" s="4"/>
      <c r="L47" s="4"/>
      <c r="M47" s="36"/>
    </row>
    <row r="48" spans="1:13">
      <c r="A48" s="2">
        <v>39</v>
      </c>
      <c r="B48" s="4" t="s">
        <v>24</v>
      </c>
      <c r="C48" s="4" t="s">
        <v>133</v>
      </c>
      <c r="D48" s="4">
        <f>'phường Quảng Trị'!E73+'phường Quảng Trị'!E74</f>
        <v>2</v>
      </c>
      <c r="E48" s="4">
        <f>'phường Quảng Trị'!F73+'phường Quảng Trị'!F74</f>
        <v>63</v>
      </c>
      <c r="F48" s="4">
        <f>'phường Quảng Trị'!G73+'phường Quảng Trị'!G74</f>
        <v>0</v>
      </c>
      <c r="G48" s="4">
        <f>'phường Quảng Trị'!H73+'phường Quảng Trị'!H74</f>
        <v>0</v>
      </c>
      <c r="H48" s="4">
        <f>'phường Quảng Trị'!I73+'phường Quảng Trị'!I74</f>
        <v>2</v>
      </c>
      <c r="I48" s="4">
        <f>'phường Quảng Trị'!J73+'phường Quảng Trị'!J74</f>
        <v>63</v>
      </c>
      <c r="J48" s="4">
        <f>'phường Quảng Trị'!K73+'phường Quảng Trị'!K74</f>
        <v>0</v>
      </c>
      <c r="K48" s="4">
        <f>'phường Quảng Trị'!L73+'phường Quảng Trị'!L74</f>
        <v>0</v>
      </c>
      <c r="L48" s="4" t="s">
        <v>267</v>
      </c>
      <c r="M48" s="36"/>
    </row>
    <row r="49" spans="1:13">
      <c r="A49" s="2">
        <v>40</v>
      </c>
      <c r="B49" s="4" t="s">
        <v>24</v>
      </c>
      <c r="C49" s="4" t="s">
        <v>77</v>
      </c>
      <c r="D49" s="4">
        <f>'phường Quảng Trị'!E75+'phường Quảng Trị'!E76</f>
        <v>2</v>
      </c>
      <c r="E49" s="4">
        <f>'phường Quảng Trị'!F75+'phường Quảng Trị'!F76</f>
        <v>301</v>
      </c>
      <c r="F49" s="4">
        <f>'phường Quảng Trị'!G75+'phường Quảng Trị'!G76</f>
        <v>2</v>
      </c>
      <c r="G49" s="4">
        <f>'phường Quảng Trị'!H75+'phường Quảng Trị'!H76</f>
        <v>301</v>
      </c>
      <c r="H49" s="4">
        <f>'phường Quảng Trị'!I75+'phường Quảng Trị'!I76</f>
        <v>0</v>
      </c>
      <c r="I49" s="4">
        <f>'phường Quảng Trị'!J75+'phường Quảng Trị'!J76</f>
        <v>0</v>
      </c>
      <c r="J49" s="4">
        <f>'phường Quảng Trị'!K75+'phường Quảng Trị'!K76</f>
        <v>0</v>
      </c>
      <c r="K49" s="4">
        <f>'phường Quảng Trị'!L75+'phường Quảng Trị'!L76</f>
        <v>0</v>
      </c>
      <c r="L49" s="4" t="s">
        <v>267</v>
      </c>
      <c r="M49" s="36"/>
    </row>
    <row r="50" spans="1:13">
      <c r="A50" s="2">
        <v>41</v>
      </c>
      <c r="B50" s="4" t="s">
        <v>24</v>
      </c>
      <c r="C50" s="4" t="s">
        <v>78</v>
      </c>
      <c r="D50" s="4">
        <f>'phường Quảng Trị'!E77+'phường Quảng Trị'!E78</f>
        <v>4</v>
      </c>
      <c r="E50" s="4">
        <f>'phường Quảng Trị'!F77+'phường Quảng Trị'!F78</f>
        <v>193</v>
      </c>
      <c r="F50" s="4">
        <f>'phường Quảng Trị'!G77+'phường Quảng Trị'!G78</f>
        <v>1</v>
      </c>
      <c r="G50" s="4">
        <f>'phường Quảng Trị'!H77+'phường Quảng Trị'!H78</f>
        <v>113</v>
      </c>
      <c r="H50" s="4">
        <f>'phường Quảng Trị'!I77+'phường Quảng Trị'!I78</f>
        <v>3</v>
      </c>
      <c r="I50" s="4">
        <f>'phường Quảng Trị'!J77+'phường Quảng Trị'!J78</f>
        <v>80</v>
      </c>
      <c r="J50" s="4">
        <f>'phường Quảng Trị'!K77+'phường Quảng Trị'!K78</f>
        <v>0</v>
      </c>
      <c r="K50" s="4">
        <f>'phường Quảng Trị'!L77+'phường Quảng Trị'!L78</f>
        <v>0</v>
      </c>
      <c r="L50" s="4" t="s">
        <v>267</v>
      </c>
      <c r="M50" s="36"/>
    </row>
    <row r="51" spans="1:13">
      <c r="A51" s="2">
        <v>42</v>
      </c>
      <c r="B51" s="4" t="s">
        <v>24</v>
      </c>
      <c r="C51" s="4" t="s">
        <v>79</v>
      </c>
      <c r="D51" s="4">
        <f>'phường Quảng Trị'!E79+'phường Quảng Trị'!E80</f>
        <v>2</v>
      </c>
      <c r="E51" s="4">
        <f>'phường Quảng Trị'!F79+'phường Quảng Trị'!F80</f>
        <v>60</v>
      </c>
      <c r="F51" s="4">
        <f>'phường Quảng Trị'!G79+'phường Quảng Trị'!G80</f>
        <v>0</v>
      </c>
      <c r="G51" s="4">
        <f>'phường Quảng Trị'!H79+'phường Quảng Trị'!H80</f>
        <v>0</v>
      </c>
      <c r="H51" s="4">
        <f>'phường Quảng Trị'!I79+'phường Quảng Trị'!I80</f>
        <v>2</v>
      </c>
      <c r="I51" s="4">
        <f>'phường Quảng Trị'!J79+'phường Quảng Trị'!J80</f>
        <v>60</v>
      </c>
      <c r="J51" s="4">
        <f>'phường Quảng Trị'!K79+'phường Quảng Trị'!K80</f>
        <v>0</v>
      </c>
      <c r="K51" s="4">
        <f>'phường Quảng Trị'!L79+'phường Quảng Trị'!L80</f>
        <v>0</v>
      </c>
      <c r="L51" s="4" t="s">
        <v>267</v>
      </c>
      <c r="M51" s="36"/>
    </row>
    <row r="52" spans="1:13">
      <c r="A52" s="2">
        <v>43</v>
      </c>
      <c r="B52" s="4" t="s">
        <v>24</v>
      </c>
      <c r="C52" s="4" t="s">
        <v>68</v>
      </c>
      <c r="D52" s="4">
        <f t="shared" si="6"/>
        <v>2</v>
      </c>
      <c r="E52" s="4">
        <f t="shared" si="6"/>
        <v>103</v>
      </c>
      <c r="F52" s="4">
        <v>1</v>
      </c>
      <c r="G52" s="4">
        <v>80</v>
      </c>
      <c r="H52" s="4">
        <v>1</v>
      </c>
      <c r="I52" s="4">
        <v>23</v>
      </c>
      <c r="J52" s="4"/>
      <c r="K52" s="4"/>
      <c r="L52" s="4"/>
      <c r="M52" s="36"/>
    </row>
    <row r="53" spans="1:13">
      <c r="A53" s="2">
        <v>44</v>
      </c>
      <c r="B53" s="4" t="s">
        <v>24</v>
      </c>
      <c r="C53" s="4" t="s">
        <v>87</v>
      </c>
      <c r="D53" s="4">
        <f t="shared" si="6"/>
        <v>2</v>
      </c>
      <c r="E53" s="4">
        <f t="shared" si="6"/>
        <v>47</v>
      </c>
      <c r="F53" s="4"/>
      <c r="G53" s="4"/>
      <c r="H53" s="4">
        <v>2</v>
      </c>
      <c r="I53" s="4">
        <v>47</v>
      </c>
      <c r="J53" s="4"/>
      <c r="K53" s="4"/>
      <c r="L53" s="4"/>
      <c r="M53" s="36"/>
    </row>
    <row r="54" spans="1:13">
      <c r="A54" s="2">
        <v>45</v>
      </c>
      <c r="B54" s="4" t="s">
        <v>24</v>
      </c>
      <c r="C54" s="4" t="s">
        <v>88</v>
      </c>
      <c r="D54" s="4">
        <f>'phường Quảng Trị'!E83+'phường Quảng Trị'!E84</f>
        <v>2</v>
      </c>
      <c r="E54" s="4">
        <f>'phường Quảng Trị'!F83+'phường Quảng Trị'!F84</f>
        <v>235</v>
      </c>
      <c r="F54" s="4">
        <f>'phường Quảng Trị'!G83+'phường Quảng Trị'!G84</f>
        <v>2</v>
      </c>
      <c r="G54" s="4">
        <f>'phường Quảng Trị'!H83+'phường Quảng Trị'!H84</f>
        <v>235</v>
      </c>
      <c r="H54" s="4">
        <f>'phường Quảng Trị'!I83+'phường Quảng Trị'!I84</f>
        <v>0</v>
      </c>
      <c r="I54" s="4">
        <f>'phường Quảng Trị'!J83+'phường Quảng Trị'!J84</f>
        <v>0</v>
      </c>
      <c r="J54" s="4">
        <f>'phường Quảng Trị'!K83+'phường Quảng Trị'!K84</f>
        <v>0</v>
      </c>
      <c r="K54" s="4">
        <f>'phường Quảng Trị'!L83+'phường Quảng Trị'!L84</f>
        <v>0</v>
      </c>
      <c r="L54" s="4" t="s">
        <v>267</v>
      </c>
      <c r="M54" s="36"/>
    </row>
    <row r="55" spans="1:13">
      <c r="A55" s="2">
        <v>46</v>
      </c>
      <c r="B55" s="4" t="s">
        <v>24</v>
      </c>
      <c r="C55" s="4" t="s">
        <v>89</v>
      </c>
      <c r="D55" s="4">
        <f>'phường Quảng Trị'!E85+'phường Quảng Trị'!E86+'phường Quảng Trị'!E87</f>
        <v>11</v>
      </c>
      <c r="E55" s="4">
        <f>'phường Quảng Trị'!F85+'phường Quảng Trị'!F86+'phường Quảng Trị'!F87</f>
        <v>332</v>
      </c>
      <c r="F55" s="4">
        <f>'phường Quảng Trị'!G85+'phường Quảng Trị'!G86+'phường Quảng Trị'!G87</f>
        <v>2</v>
      </c>
      <c r="G55" s="4">
        <f>'phường Quảng Trị'!H85+'phường Quảng Trị'!H86+'phường Quảng Trị'!H87</f>
        <v>274</v>
      </c>
      <c r="H55" s="4">
        <f>'phường Quảng Trị'!I85+'phường Quảng Trị'!I86+'phường Quảng Trị'!I87</f>
        <v>0</v>
      </c>
      <c r="I55" s="4">
        <f>'phường Quảng Trị'!J85+'phường Quảng Trị'!J86+'phường Quảng Trị'!J87</f>
        <v>0</v>
      </c>
      <c r="J55" s="4">
        <f>'phường Quảng Trị'!K85+'phường Quảng Trị'!K86+'phường Quảng Trị'!K87</f>
        <v>9</v>
      </c>
      <c r="K55" s="4">
        <f>'phường Quảng Trị'!L85+'phường Quảng Trị'!L86+'phường Quảng Trị'!L87</f>
        <v>58</v>
      </c>
      <c r="L55" s="4" t="s">
        <v>268</v>
      </c>
      <c r="M55" s="36"/>
    </row>
    <row r="56" spans="1:13">
      <c r="A56" s="2">
        <v>47</v>
      </c>
      <c r="B56" s="4" t="s">
        <v>24</v>
      </c>
      <c r="C56" s="4" t="s">
        <v>90</v>
      </c>
      <c r="D56" s="4">
        <f>'phường Quảng Trị'!E88+'phường Quảng Trị'!E89</f>
        <v>12</v>
      </c>
      <c r="E56" s="4">
        <f>'phường Quảng Trị'!F88+'phường Quảng Trị'!F89</f>
        <v>592</v>
      </c>
      <c r="F56" s="4">
        <f>'phường Quảng Trị'!G88+'phường Quảng Trị'!G89</f>
        <v>4</v>
      </c>
      <c r="G56" s="4">
        <f>'phường Quảng Trị'!H88+'phường Quảng Trị'!H89</f>
        <v>522</v>
      </c>
      <c r="H56" s="4">
        <f>'phường Quảng Trị'!I88+'phường Quảng Trị'!I89</f>
        <v>2</v>
      </c>
      <c r="I56" s="4">
        <f>'phường Quảng Trị'!J88+'phường Quảng Trị'!J89</f>
        <v>40</v>
      </c>
      <c r="J56" s="4">
        <f>'phường Quảng Trị'!K88+'phường Quảng Trị'!K89</f>
        <v>6</v>
      </c>
      <c r="K56" s="4">
        <f>'phường Quảng Trị'!L88+'phường Quảng Trị'!L89</f>
        <v>30</v>
      </c>
      <c r="L56" s="4" t="s">
        <v>267</v>
      </c>
      <c r="M56" s="36"/>
    </row>
    <row r="57" spans="1:13">
      <c r="A57" s="2">
        <v>48</v>
      </c>
      <c r="B57" s="4" t="s">
        <v>24</v>
      </c>
      <c r="C57" s="4" t="s">
        <v>91</v>
      </c>
      <c r="D57" s="4">
        <f t="shared" ref="D57:E74" si="7">F57+H57+J57</f>
        <v>1</v>
      </c>
      <c r="E57" s="4">
        <f t="shared" si="7"/>
        <v>30</v>
      </c>
      <c r="F57" s="4"/>
      <c r="G57" s="4"/>
      <c r="H57" s="4">
        <v>1</v>
      </c>
      <c r="I57" s="4">
        <v>30</v>
      </c>
      <c r="J57" s="4"/>
      <c r="K57" s="4"/>
      <c r="L57" s="4"/>
      <c r="M57" s="36"/>
    </row>
    <row r="58" spans="1:13">
      <c r="A58" s="2">
        <v>49</v>
      </c>
      <c r="B58" s="4" t="s">
        <v>24</v>
      </c>
      <c r="C58" s="4" t="s">
        <v>92</v>
      </c>
      <c r="D58" s="4">
        <f>'phường Quảng Trị'!E91+'phường Quảng Trị'!E92</f>
        <v>11</v>
      </c>
      <c r="E58" s="4">
        <f>'phường Quảng Trị'!F91+'phường Quảng Trị'!F92</f>
        <v>254</v>
      </c>
      <c r="F58" s="4">
        <f>'phường Quảng Trị'!G91+'phường Quảng Trị'!G92</f>
        <v>2</v>
      </c>
      <c r="G58" s="4">
        <f>'phường Quảng Trị'!H91+'phường Quảng Trị'!H92</f>
        <v>162</v>
      </c>
      <c r="H58" s="4">
        <f>'phường Quảng Trị'!I91+'phường Quảng Trị'!I92</f>
        <v>3</v>
      </c>
      <c r="I58" s="4">
        <f>'phường Quảng Trị'!J91+'phường Quảng Trị'!J92</f>
        <v>86</v>
      </c>
      <c r="J58" s="4">
        <f>'phường Quảng Trị'!K91+'phường Quảng Trị'!K92</f>
        <v>6</v>
      </c>
      <c r="K58" s="4">
        <f>'phường Quảng Trị'!L91+'phường Quảng Trị'!L92</f>
        <v>6</v>
      </c>
      <c r="L58" s="4" t="s">
        <v>267</v>
      </c>
      <c r="M58" s="36"/>
    </row>
    <row r="59" spans="1:13">
      <c r="A59" s="2">
        <v>50</v>
      </c>
      <c r="B59" s="4" t="s">
        <v>24</v>
      </c>
      <c r="C59" s="7" t="s">
        <v>98</v>
      </c>
      <c r="D59" s="4">
        <f>'phường Quảng Trị'!E93+'phường Quảng Trị'!E94</f>
        <v>4</v>
      </c>
      <c r="E59" s="4">
        <f>'phường Quảng Trị'!F93+'phường Quảng Trị'!F94</f>
        <v>147</v>
      </c>
      <c r="F59" s="4">
        <f>'phường Quảng Trị'!G93+'phường Quảng Trị'!G94</f>
        <v>0</v>
      </c>
      <c r="G59" s="4">
        <f>'phường Quảng Trị'!H93+'phường Quảng Trị'!H94</f>
        <v>0</v>
      </c>
      <c r="H59" s="4">
        <f>'phường Quảng Trị'!I93+'phường Quảng Trị'!I94</f>
        <v>4</v>
      </c>
      <c r="I59" s="4">
        <f>'phường Quảng Trị'!J93+'phường Quảng Trị'!J94</f>
        <v>147</v>
      </c>
      <c r="J59" s="4">
        <f>'phường Quảng Trị'!K93+'phường Quảng Trị'!K94</f>
        <v>0</v>
      </c>
      <c r="K59" s="4">
        <f>'phường Quảng Trị'!L93+'phường Quảng Trị'!L94</f>
        <v>0</v>
      </c>
      <c r="L59" s="4" t="s">
        <v>267</v>
      </c>
      <c r="M59" s="36"/>
    </row>
    <row r="60" spans="1:13">
      <c r="A60" s="2">
        <v>51</v>
      </c>
      <c r="B60" s="4" t="s">
        <v>24</v>
      </c>
      <c r="C60" s="4" t="s">
        <v>99</v>
      </c>
      <c r="D60" s="4">
        <f t="shared" si="7"/>
        <v>1</v>
      </c>
      <c r="E60" s="4">
        <f t="shared" si="7"/>
        <v>30</v>
      </c>
      <c r="F60" s="4"/>
      <c r="G60" s="4"/>
      <c r="H60" s="4">
        <v>1</v>
      </c>
      <c r="I60" s="4">
        <v>30</v>
      </c>
      <c r="J60" s="4"/>
      <c r="K60" s="4"/>
      <c r="L60" s="4"/>
      <c r="M60" s="36"/>
    </row>
    <row r="61" spans="1:13">
      <c r="A61" s="2">
        <v>52</v>
      </c>
      <c r="B61" s="4" t="s">
        <v>24</v>
      </c>
      <c r="C61" s="4" t="s">
        <v>100</v>
      </c>
      <c r="D61" s="4">
        <f t="shared" si="7"/>
        <v>1</v>
      </c>
      <c r="E61" s="4">
        <f t="shared" si="7"/>
        <v>51</v>
      </c>
      <c r="F61" s="4"/>
      <c r="G61" s="4"/>
      <c r="H61" s="4">
        <v>1</v>
      </c>
      <c r="I61" s="4">
        <v>51</v>
      </c>
      <c r="J61" s="4"/>
      <c r="K61" s="4"/>
      <c r="L61" s="4"/>
      <c r="M61" s="36"/>
    </row>
    <row r="62" spans="1:13">
      <c r="A62" s="2">
        <v>53</v>
      </c>
      <c r="B62" s="4" t="s">
        <v>24</v>
      </c>
      <c r="C62" s="4" t="s">
        <v>101</v>
      </c>
      <c r="D62" s="4">
        <f t="shared" si="7"/>
        <v>1</v>
      </c>
      <c r="E62" s="4">
        <f t="shared" si="7"/>
        <v>88</v>
      </c>
      <c r="F62" s="4"/>
      <c r="G62" s="4"/>
      <c r="H62" s="4">
        <v>1</v>
      </c>
      <c r="I62" s="4">
        <v>88</v>
      </c>
      <c r="J62" s="4"/>
      <c r="K62" s="4"/>
      <c r="L62" s="4"/>
      <c r="M62" s="36"/>
    </row>
    <row r="63" spans="1:13">
      <c r="A63" s="2">
        <v>54</v>
      </c>
      <c r="B63" s="4" t="s">
        <v>24</v>
      </c>
      <c r="C63" s="4" t="s">
        <v>102</v>
      </c>
      <c r="D63" s="4">
        <f t="shared" si="7"/>
        <v>1</v>
      </c>
      <c r="E63" s="4">
        <f t="shared" si="7"/>
        <v>73</v>
      </c>
      <c r="F63" s="4"/>
      <c r="G63" s="4"/>
      <c r="H63" s="4">
        <v>1</v>
      </c>
      <c r="I63" s="4">
        <v>73</v>
      </c>
      <c r="J63" s="4"/>
      <c r="K63" s="4"/>
      <c r="L63" s="4"/>
      <c r="M63" s="36"/>
    </row>
    <row r="64" spans="1:13">
      <c r="A64" s="2">
        <v>55</v>
      </c>
      <c r="B64" s="4" t="s">
        <v>24</v>
      </c>
      <c r="C64" s="4" t="s">
        <v>327</v>
      </c>
      <c r="D64" s="4">
        <f t="shared" si="7"/>
        <v>1</v>
      </c>
      <c r="E64" s="4">
        <f t="shared" si="7"/>
        <v>87</v>
      </c>
      <c r="F64" s="4">
        <v>1</v>
      </c>
      <c r="G64" s="4">
        <v>87</v>
      </c>
      <c r="H64" s="4"/>
      <c r="I64" s="4"/>
      <c r="J64" s="4"/>
      <c r="K64" s="4"/>
      <c r="L64" s="4"/>
      <c r="M64" s="36"/>
    </row>
    <row r="65" spans="1:13">
      <c r="A65" s="2">
        <v>56</v>
      </c>
      <c r="B65" s="4" t="s">
        <v>24</v>
      </c>
      <c r="C65" s="4" t="s">
        <v>109</v>
      </c>
      <c r="D65" s="4">
        <f>'phường Quảng Trị'!E100+'phường Quảng Trị'!E101+'phường Quảng Trị'!E102</f>
        <v>7</v>
      </c>
      <c r="E65" s="4">
        <f>'phường Quảng Trị'!F100+'phường Quảng Trị'!F101+'phường Quảng Trị'!F102</f>
        <v>732</v>
      </c>
      <c r="F65" s="4">
        <f>'phường Quảng Trị'!G100+'phường Quảng Trị'!G101+'phường Quảng Trị'!G102</f>
        <v>3</v>
      </c>
      <c r="G65" s="4">
        <f>'phường Quảng Trị'!H100+'phường Quảng Trị'!H101+'phường Quảng Trị'!H102</f>
        <v>580</v>
      </c>
      <c r="H65" s="4">
        <f>'phường Quảng Trị'!I100+'phường Quảng Trị'!I101+'phường Quảng Trị'!I102</f>
        <v>4</v>
      </c>
      <c r="I65" s="4">
        <f>'phường Quảng Trị'!J100+'phường Quảng Trị'!J101+'phường Quảng Trị'!J102</f>
        <v>152</v>
      </c>
      <c r="J65" s="4">
        <f>'phường Quảng Trị'!K100+'phường Quảng Trị'!K101+'phường Quảng Trị'!K102</f>
        <v>0</v>
      </c>
      <c r="K65" s="4">
        <f>'phường Quảng Trị'!L100+'phường Quảng Trị'!L101+'phường Quảng Trị'!L102</f>
        <v>0</v>
      </c>
      <c r="L65" s="4" t="s">
        <v>268</v>
      </c>
      <c r="M65" s="36"/>
    </row>
    <row r="66" spans="1:13">
      <c r="A66" s="2">
        <v>57</v>
      </c>
      <c r="B66" s="4" t="s">
        <v>24</v>
      </c>
      <c r="C66" s="4" t="s">
        <v>110</v>
      </c>
      <c r="D66" s="4">
        <f t="shared" si="7"/>
        <v>2</v>
      </c>
      <c r="E66" s="4">
        <f t="shared" si="7"/>
        <v>126</v>
      </c>
      <c r="F66" s="4"/>
      <c r="G66" s="4"/>
      <c r="H66" s="4">
        <v>2</v>
      </c>
      <c r="I66" s="4">
        <f>68+58</f>
        <v>126</v>
      </c>
      <c r="J66" s="4"/>
      <c r="K66" s="4"/>
      <c r="L66" s="4"/>
      <c r="M66" s="36"/>
    </row>
    <row r="67" spans="1:13">
      <c r="A67" s="2">
        <v>58</v>
      </c>
      <c r="B67" s="4" t="s">
        <v>24</v>
      </c>
      <c r="C67" s="4" t="s">
        <v>328</v>
      </c>
      <c r="D67" s="4">
        <f t="shared" si="7"/>
        <v>2</v>
      </c>
      <c r="E67" s="4">
        <f t="shared" si="7"/>
        <v>83</v>
      </c>
      <c r="F67" s="4"/>
      <c r="G67" s="4"/>
      <c r="H67" s="4">
        <v>2</v>
      </c>
      <c r="I67" s="4">
        <f>41+42</f>
        <v>83</v>
      </c>
      <c r="J67" s="4"/>
      <c r="K67" s="4"/>
      <c r="L67" s="4"/>
      <c r="M67" s="36"/>
    </row>
    <row r="68" spans="1:13">
      <c r="A68" s="2">
        <v>59</v>
      </c>
      <c r="B68" s="4" t="s">
        <v>24</v>
      </c>
      <c r="C68" s="4" t="s">
        <v>111</v>
      </c>
      <c r="D68" s="4">
        <f t="shared" si="7"/>
        <v>1</v>
      </c>
      <c r="E68" s="4">
        <f t="shared" si="7"/>
        <v>43</v>
      </c>
      <c r="F68" s="4"/>
      <c r="G68" s="4"/>
      <c r="H68" s="4">
        <v>1</v>
      </c>
      <c r="I68" s="4">
        <v>43</v>
      </c>
      <c r="J68" s="4"/>
      <c r="K68" s="4"/>
      <c r="L68" s="4"/>
      <c r="M68" s="36"/>
    </row>
    <row r="69" spans="1:13">
      <c r="A69" s="2">
        <v>60</v>
      </c>
      <c r="B69" s="4" t="s">
        <v>24</v>
      </c>
      <c r="C69" s="4" t="s">
        <v>329</v>
      </c>
      <c r="D69" s="4">
        <f t="shared" si="7"/>
        <v>2</v>
      </c>
      <c r="E69" s="7">
        <f t="shared" si="7"/>
        <v>71</v>
      </c>
      <c r="F69" s="4"/>
      <c r="G69" s="4"/>
      <c r="H69" s="4">
        <v>2</v>
      </c>
      <c r="I69" s="4">
        <f>34+37</f>
        <v>71</v>
      </c>
      <c r="J69" s="4"/>
      <c r="K69" s="4"/>
      <c r="L69" s="4"/>
      <c r="M69" s="36"/>
    </row>
    <row r="70" spans="1:13">
      <c r="A70" s="2">
        <v>61</v>
      </c>
      <c r="B70" s="15" t="s">
        <v>24</v>
      </c>
      <c r="C70" s="15" t="s">
        <v>129</v>
      </c>
      <c r="D70" s="15">
        <f t="shared" si="7"/>
        <v>1</v>
      </c>
      <c r="E70" s="15">
        <f t="shared" si="7"/>
        <v>115</v>
      </c>
      <c r="F70" s="15">
        <v>1</v>
      </c>
      <c r="G70" s="15">
        <v>115</v>
      </c>
      <c r="H70" s="15"/>
      <c r="I70" s="15"/>
      <c r="J70" s="15"/>
      <c r="K70" s="15"/>
      <c r="L70" s="15"/>
      <c r="M70" s="36"/>
    </row>
    <row r="71" spans="1:13">
      <c r="A71" s="2">
        <v>62</v>
      </c>
      <c r="B71" s="4" t="s">
        <v>24</v>
      </c>
      <c r="C71" s="4" t="s">
        <v>130</v>
      </c>
      <c r="D71" s="4">
        <f t="shared" si="7"/>
        <v>1</v>
      </c>
      <c r="E71" s="4">
        <f t="shared" si="7"/>
        <v>112</v>
      </c>
      <c r="F71" s="4">
        <v>1</v>
      </c>
      <c r="G71" s="4">
        <v>112</v>
      </c>
      <c r="H71" s="4"/>
      <c r="I71" s="4"/>
      <c r="J71" s="4"/>
      <c r="K71" s="4"/>
      <c r="L71" s="4"/>
      <c r="M71" s="36"/>
    </row>
    <row r="72" spans="1:13">
      <c r="A72" s="2">
        <v>63</v>
      </c>
      <c r="B72" s="4" t="s">
        <v>24</v>
      </c>
      <c r="C72" s="4" t="s">
        <v>131</v>
      </c>
      <c r="D72" s="4">
        <f t="shared" si="7"/>
        <v>9</v>
      </c>
      <c r="E72" s="4">
        <f t="shared" si="7"/>
        <v>1124</v>
      </c>
      <c r="F72" s="4">
        <v>2</v>
      </c>
      <c r="G72" s="4">
        <f>206+232</f>
        <v>438</v>
      </c>
      <c r="H72" s="4">
        <v>7</v>
      </c>
      <c r="I72" s="4">
        <f>98+99+97+100+96+98+98</f>
        <v>686</v>
      </c>
      <c r="J72" s="4"/>
      <c r="K72" s="4"/>
      <c r="L72" s="4"/>
      <c r="M72" s="36"/>
    </row>
    <row r="73" spans="1:13">
      <c r="A73" s="2">
        <v>64</v>
      </c>
      <c r="B73" s="4" t="s">
        <v>24</v>
      </c>
      <c r="C73" s="4" t="s">
        <v>330</v>
      </c>
      <c r="D73" s="4">
        <f t="shared" si="7"/>
        <v>1</v>
      </c>
      <c r="E73" s="4">
        <f t="shared" si="7"/>
        <v>15</v>
      </c>
      <c r="F73" s="4"/>
      <c r="G73" s="4"/>
      <c r="H73" s="4">
        <v>1</v>
      </c>
      <c r="I73" s="4">
        <v>15</v>
      </c>
      <c r="J73" s="4"/>
      <c r="K73" s="4"/>
      <c r="L73" s="4"/>
      <c r="M73" s="36"/>
    </row>
    <row r="74" spans="1:13">
      <c r="A74" s="2">
        <v>65</v>
      </c>
      <c r="B74" s="4" t="s">
        <v>24</v>
      </c>
      <c r="C74" s="4" t="s">
        <v>132</v>
      </c>
      <c r="D74" s="4">
        <f t="shared" si="7"/>
        <v>2</v>
      </c>
      <c r="E74" s="4">
        <f t="shared" si="7"/>
        <v>31</v>
      </c>
      <c r="F74" s="4"/>
      <c r="G74" s="4"/>
      <c r="H74" s="4">
        <v>2</v>
      </c>
      <c r="I74" s="4">
        <v>31</v>
      </c>
      <c r="J74" s="4"/>
      <c r="K74" s="4"/>
      <c r="L74" s="4"/>
      <c r="M74" s="36"/>
    </row>
    <row r="75" spans="1:13">
      <c r="A75" s="2">
        <v>66</v>
      </c>
      <c r="B75" s="4" t="s">
        <v>24</v>
      </c>
      <c r="C75" s="4" t="s">
        <v>134</v>
      </c>
      <c r="D75" s="4">
        <f>'phường Quảng Trị'!E112+'phường Quảng Trị'!E113</f>
        <v>18</v>
      </c>
      <c r="E75" s="4">
        <f>'phường Quảng Trị'!F112+'phường Quảng Trị'!F113</f>
        <v>304</v>
      </c>
      <c r="F75" s="4">
        <f>'phường Quảng Trị'!G112+'phường Quảng Trị'!G113</f>
        <v>1</v>
      </c>
      <c r="G75" s="4">
        <f>'phường Quảng Trị'!H112+'phường Quảng Trị'!H113</f>
        <v>194</v>
      </c>
      <c r="H75" s="4">
        <f>'phường Quảng Trị'!I112+'phường Quảng Trị'!I113</f>
        <v>2</v>
      </c>
      <c r="I75" s="4">
        <f>'phường Quảng Trị'!J112+'phường Quảng Trị'!J113</f>
        <v>95</v>
      </c>
      <c r="J75" s="4">
        <f>'phường Quảng Trị'!K112+'phường Quảng Trị'!K113</f>
        <v>15</v>
      </c>
      <c r="K75" s="4">
        <f>'phường Quảng Trị'!L112+'phường Quảng Trị'!L113</f>
        <v>15</v>
      </c>
      <c r="L75" s="4" t="s">
        <v>267</v>
      </c>
      <c r="M75" s="36"/>
    </row>
    <row r="76" spans="1:13">
      <c r="A76" s="2">
        <v>67</v>
      </c>
      <c r="B76" s="4" t="s">
        <v>24</v>
      </c>
      <c r="C76" s="4" t="s">
        <v>142</v>
      </c>
      <c r="D76" s="4">
        <f t="shared" ref="D76:E83" si="8">F76+H76+J76</f>
        <v>1</v>
      </c>
      <c r="E76" s="4">
        <f t="shared" si="8"/>
        <v>134</v>
      </c>
      <c r="F76" s="4">
        <v>1</v>
      </c>
      <c r="G76" s="4">
        <v>134</v>
      </c>
      <c r="H76" s="4"/>
      <c r="I76" s="4"/>
      <c r="J76" s="4"/>
      <c r="K76" s="4"/>
      <c r="L76" s="4"/>
      <c r="M76" s="36"/>
    </row>
    <row r="77" spans="1:13">
      <c r="A77" s="2">
        <v>68</v>
      </c>
      <c r="B77" s="4" t="s">
        <v>24</v>
      </c>
      <c r="C77" s="4" t="s">
        <v>143</v>
      </c>
      <c r="D77" s="4">
        <f t="shared" si="8"/>
        <v>1</v>
      </c>
      <c r="E77" s="4">
        <f t="shared" si="8"/>
        <v>41</v>
      </c>
      <c r="F77" s="4"/>
      <c r="G77" s="4"/>
      <c r="H77" s="4">
        <v>1</v>
      </c>
      <c r="I77" s="4">
        <v>41</v>
      </c>
      <c r="J77" s="4"/>
      <c r="K77" s="4"/>
      <c r="L77" s="4"/>
      <c r="M77" s="36"/>
    </row>
    <row r="78" spans="1:13">
      <c r="A78" s="2">
        <v>69</v>
      </c>
      <c r="B78" s="4" t="s">
        <v>24</v>
      </c>
      <c r="C78" s="4" t="s">
        <v>323</v>
      </c>
      <c r="D78" s="4">
        <f t="shared" si="8"/>
        <v>1</v>
      </c>
      <c r="E78" s="4">
        <f t="shared" si="8"/>
        <v>182</v>
      </c>
      <c r="F78" s="4">
        <v>1</v>
      </c>
      <c r="G78" s="4">
        <v>182</v>
      </c>
      <c r="H78" s="4"/>
      <c r="I78" s="4"/>
      <c r="J78" s="4"/>
      <c r="K78" s="4"/>
      <c r="L78" s="4"/>
      <c r="M78" s="36"/>
    </row>
    <row r="79" spans="1:13">
      <c r="A79" s="2">
        <v>70</v>
      </c>
      <c r="B79" s="4" t="s">
        <v>24</v>
      </c>
      <c r="C79" s="4" t="s">
        <v>168</v>
      </c>
      <c r="D79" s="4">
        <f t="shared" si="8"/>
        <v>1</v>
      </c>
      <c r="E79" s="4">
        <f t="shared" si="8"/>
        <v>59</v>
      </c>
      <c r="F79" s="4"/>
      <c r="G79" s="4"/>
      <c r="H79" s="4">
        <v>1</v>
      </c>
      <c r="I79" s="4">
        <v>59</v>
      </c>
      <c r="J79" s="4"/>
      <c r="K79" s="4"/>
      <c r="L79" s="4"/>
      <c r="M79" s="36"/>
    </row>
    <row r="80" spans="1:13">
      <c r="A80" s="2">
        <v>71</v>
      </c>
      <c r="B80" s="4" t="s">
        <v>24</v>
      </c>
      <c r="C80" s="4" t="s">
        <v>169</v>
      </c>
      <c r="D80" s="4">
        <f t="shared" si="8"/>
        <v>2</v>
      </c>
      <c r="E80" s="4">
        <f t="shared" si="8"/>
        <v>129</v>
      </c>
      <c r="F80" s="4"/>
      <c r="G80" s="4"/>
      <c r="H80" s="4">
        <v>2</v>
      </c>
      <c r="I80" s="4">
        <f>62+67</f>
        <v>129</v>
      </c>
      <c r="J80" s="4"/>
      <c r="K80" s="4"/>
      <c r="L80" s="4"/>
      <c r="M80" s="36"/>
    </row>
    <row r="81" spans="1:13">
      <c r="A81" s="2">
        <v>72</v>
      </c>
      <c r="B81" s="4" t="s">
        <v>24</v>
      </c>
      <c r="C81" s="4" t="s">
        <v>246</v>
      </c>
      <c r="D81" s="4">
        <f>'phường Quảng Trị'!E119+'phường Quảng Trị'!E120</f>
        <v>25</v>
      </c>
      <c r="E81" s="4">
        <f>'phường Quảng Trị'!F119+'phường Quảng Trị'!F120</f>
        <v>1029</v>
      </c>
      <c r="F81" s="4">
        <f>'phường Quảng Trị'!G119+'phường Quảng Trị'!G120</f>
        <v>1</v>
      </c>
      <c r="G81" s="4">
        <f>'phường Quảng Trị'!H119+'phường Quảng Trị'!H120</f>
        <v>87</v>
      </c>
      <c r="H81" s="4">
        <f>'phường Quảng Trị'!I119+'phường Quảng Trị'!I120</f>
        <v>24</v>
      </c>
      <c r="I81" s="4">
        <f>'phường Quảng Trị'!J119+'phường Quảng Trị'!J120</f>
        <v>942</v>
      </c>
      <c r="J81" s="4">
        <f>'phường Quảng Trị'!K119+'phường Quảng Trị'!K120</f>
        <v>0</v>
      </c>
      <c r="K81" s="4">
        <f>'phường Quảng Trị'!L119+'phường Quảng Trị'!L120</f>
        <v>0</v>
      </c>
      <c r="L81" s="4" t="s">
        <v>267</v>
      </c>
      <c r="M81" s="36"/>
    </row>
    <row r="82" spans="1:13">
      <c r="A82" s="2">
        <v>73</v>
      </c>
      <c r="B82" s="4" t="s">
        <v>24</v>
      </c>
      <c r="C82" s="4" t="s">
        <v>176</v>
      </c>
      <c r="D82" s="4">
        <f t="shared" si="8"/>
        <v>13</v>
      </c>
      <c r="E82" s="4">
        <f t="shared" si="8"/>
        <v>597</v>
      </c>
      <c r="F82" s="4">
        <v>4</v>
      </c>
      <c r="G82" s="4">
        <f>65+100+45+89</f>
        <v>299</v>
      </c>
      <c r="H82" s="4">
        <v>9</v>
      </c>
      <c r="I82" s="4">
        <f>10+72+74+72+70</f>
        <v>298</v>
      </c>
      <c r="J82" s="4"/>
      <c r="K82" s="4"/>
      <c r="L82" s="4"/>
      <c r="M82" s="36"/>
    </row>
    <row r="83" spans="1:13">
      <c r="A83" s="2">
        <v>74</v>
      </c>
      <c r="B83" s="4" t="s">
        <v>24</v>
      </c>
      <c r="C83" s="4" t="s">
        <v>193</v>
      </c>
      <c r="D83" s="4">
        <f t="shared" si="8"/>
        <v>1</v>
      </c>
      <c r="E83" s="4">
        <f t="shared" si="8"/>
        <v>167</v>
      </c>
      <c r="F83" s="4">
        <v>1</v>
      </c>
      <c r="G83" s="4">
        <v>167</v>
      </c>
      <c r="H83" s="4"/>
      <c r="I83" s="4"/>
      <c r="J83" s="4"/>
      <c r="K83" s="4"/>
      <c r="L83" s="4"/>
      <c r="M83" s="36"/>
    </row>
    <row r="84" spans="1:13">
      <c r="A84" s="78">
        <v>75</v>
      </c>
      <c r="B84" s="7" t="s">
        <v>24</v>
      </c>
      <c r="C84" s="7" t="s">
        <v>206</v>
      </c>
      <c r="D84" s="7">
        <f>'phường Quảng Trị'!E123+'phường Quảng Trị'!E124+'phường Quảng Trị'!E125</f>
        <v>3</v>
      </c>
      <c r="E84" s="7">
        <f>'phường Quảng Trị'!F123+'phường Quảng Trị'!F124+'phường Quảng Trị'!F125</f>
        <v>794</v>
      </c>
      <c r="F84" s="7">
        <f>'phường Quảng Trị'!G123+'phường Quảng Trị'!G124+'phường Quảng Trị'!G125</f>
        <v>3</v>
      </c>
      <c r="G84" s="7">
        <f>'phường Quảng Trị'!H123+'phường Quảng Trị'!H124+'phường Quảng Trị'!H125</f>
        <v>794</v>
      </c>
      <c r="H84" s="7">
        <f>'phường Quảng Trị'!I123+'phường Quảng Trị'!I124+'phường Quảng Trị'!I125</f>
        <v>0</v>
      </c>
      <c r="I84" s="7">
        <f>'phường Quảng Trị'!J123+'phường Quảng Trị'!J124+'phường Quảng Trị'!J125</f>
        <v>0</v>
      </c>
      <c r="J84" s="7">
        <f>'phường Quảng Trị'!K123+'phường Quảng Trị'!K124+'phường Quảng Trị'!K125</f>
        <v>0</v>
      </c>
      <c r="K84" s="7">
        <f>'phường Quảng Trị'!L123+'phường Quảng Trị'!L124+'phường Quảng Trị'!L125</f>
        <v>0</v>
      </c>
      <c r="L84" s="4" t="s">
        <v>268</v>
      </c>
      <c r="M84" s="36"/>
    </row>
    <row r="85" spans="1:13" s="18" customFormat="1" ht="14.25">
      <c r="A85" s="19" t="s">
        <v>251</v>
      </c>
      <c r="B85" s="106" t="s">
        <v>252</v>
      </c>
      <c r="C85" s="106"/>
      <c r="D85" s="20">
        <f t="shared" ref="D85:K85" si="9">SUM(D86:D143)</f>
        <v>727</v>
      </c>
      <c r="E85" s="20">
        <f t="shared" si="9"/>
        <v>38332</v>
      </c>
      <c r="F85" s="20">
        <f t="shared" si="9"/>
        <v>97</v>
      </c>
      <c r="G85" s="20">
        <f t="shared" si="9"/>
        <v>13369</v>
      </c>
      <c r="H85" s="20">
        <f t="shared" si="9"/>
        <v>481</v>
      </c>
      <c r="I85" s="20">
        <f t="shared" si="9"/>
        <v>24493</v>
      </c>
      <c r="J85" s="20">
        <f t="shared" si="9"/>
        <v>149</v>
      </c>
      <c r="K85" s="20">
        <f t="shared" si="9"/>
        <v>470</v>
      </c>
      <c r="L85" s="19"/>
      <c r="M85" s="36"/>
    </row>
    <row r="86" spans="1:13" s="12" customFormat="1">
      <c r="A86" s="78">
        <v>1</v>
      </c>
      <c r="B86" s="4" t="s">
        <v>16</v>
      </c>
      <c r="C86" s="4" t="s">
        <v>17</v>
      </c>
      <c r="D86" s="40">
        <f>F86+H86+J86</f>
        <v>24</v>
      </c>
      <c r="E86" s="40">
        <f>G86+I86+K86</f>
        <v>727</v>
      </c>
      <c r="F86" s="2">
        <v>3</v>
      </c>
      <c r="G86" s="87">
        <v>567</v>
      </c>
      <c r="H86" s="2">
        <v>1</v>
      </c>
      <c r="I86" s="87">
        <v>40</v>
      </c>
      <c r="J86" s="2">
        <v>20</v>
      </c>
      <c r="K86" s="87">
        <v>120</v>
      </c>
      <c r="L86" s="4"/>
      <c r="M86" s="36"/>
    </row>
    <row r="87" spans="1:13" s="12" customFormat="1">
      <c r="A87" s="2">
        <v>2</v>
      </c>
      <c r="B87" s="4" t="s">
        <v>16</v>
      </c>
      <c r="C87" s="4" t="s">
        <v>58</v>
      </c>
      <c r="D87" s="4">
        <f>'phường Quảng Trị'!E128+'phường Quảng Trị'!E129+'phường Quảng Trị'!E130</f>
        <v>28</v>
      </c>
      <c r="E87" s="4">
        <f>'phường Quảng Trị'!F128+'phường Quảng Trị'!F129+'phường Quảng Trị'!F130</f>
        <v>1106</v>
      </c>
      <c r="F87" s="4">
        <f>'phường Quảng Trị'!G128+'phường Quảng Trị'!G129+'phường Quảng Trị'!G130</f>
        <v>3</v>
      </c>
      <c r="G87" s="4">
        <f>'phường Quảng Trị'!H128+'phường Quảng Trị'!H129+'phường Quảng Trị'!H130</f>
        <v>420</v>
      </c>
      <c r="H87" s="4">
        <f>'phường Quảng Trị'!I128+'phường Quảng Trị'!I129+'phường Quảng Trị'!I130</f>
        <v>25</v>
      </c>
      <c r="I87" s="4">
        <f>'phường Quảng Trị'!J128+'phường Quảng Trị'!J129+'phường Quảng Trị'!J130</f>
        <v>686</v>
      </c>
      <c r="J87" s="4">
        <f>'phường Quảng Trị'!K128+'phường Quảng Trị'!K129+'phường Quảng Trị'!K130</f>
        <v>0</v>
      </c>
      <c r="K87" s="4">
        <f>'phường Quảng Trị'!L128+'phường Quảng Trị'!L129+'phường Quảng Trị'!L130</f>
        <v>0</v>
      </c>
      <c r="L87" s="4" t="s">
        <v>268</v>
      </c>
      <c r="M87" s="36"/>
    </row>
    <row r="88" spans="1:13">
      <c r="A88" s="78">
        <v>3</v>
      </c>
      <c r="B88" s="4" t="s">
        <v>16</v>
      </c>
      <c r="C88" s="7" t="s">
        <v>69</v>
      </c>
      <c r="D88" s="4">
        <f>'phường Quảng Trị'!E131+'phường Quảng Trị'!E132</f>
        <v>2</v>
      </c>
      <c r="E88" s="4">
        <f>'phường Quảng Trị'!F131+'phường Quảng Trị'!F132</f>
        <v>70</v>
      </c>
      <c r="F88" s="4">
        <f>'phường Quảng Trị'!G131+'phường Quảng Trị'!G132</f>
        <v>0</v>
      </c>
      <c r="G88" s="4">
        <f>'phường Quảng Trị'!H131+'phường Quảng Trị'!H132</f>
        <v>0</v>
      </c>
      <c r="H88" s="4">
        <f>'phường Quảng Trị'!I131+'phường Quảng Trị'!I132</f>
        <v>2</v>
      </c>
      <c r="I88" s="4">
        <f>'phường Quảng Trị'!J131+'phường Quảng Trị'!J132</f>
        <v>70</v>
      </c>
      <c r="J88" s="4">
        <f>'phường Quảng Trị'!K131+'phường Quảng Trị'!K132</f>
        <v>0</v>
      </c>
      <c r="K88" s="4">
        <f>'phường Quảng Trị'!L131+'phường Quảng Trị'!L132</f>
        <v>0</v>
      </c>
      <c r="L88" s="4" t="s">
        <v>267</v>
      </c>
      <c r="M88" s="36"/>
    </row>
    <row r="89" spans="1:13">
      <c r="A89" s="2">
        <v>4</v>
      </c>
      <c r="B89" s="4" t="s">
        <v>16</v>
      </c>
      <c r="C89" s="4" t="s">
        <v>70</v>
      </c>
      <c r="D89" s="4">
        <f t="shared" ref="D89:E94" si="10">F89+H89+J89</f>
        <v>35</v>
      </c>
      <c r="E89" s="4">
        <f t="shared" si="10"/>
        <v>3053</v>
      </c>
      <c r="F89" s="4"/>
      <c r="G89" s="4"/>
      <c r="H89" s="4">
        <v>35</v>
      </c>
      <c r="I89" s="4">
        <f>117+125+120+121+119+121+122+118+123+124+125+123+126+127+124+126+125+120+126+119+122+128+127+53+56+57+59</f>
        <v>3053</v>
      </c>
      <c r="J89" s="4"/>
      <c r="K89" s="4"/>
      <c r="L89" s="4"/>
      <c r="M89" s="36"/>
    </row>
    <row r="90" spans="1:13">
      <c r="A90" s="78">
        <v>5</v>
      </c>
      <c r="B90" s="4" t="s">
        <v>16</v>
      </c>
      <c r="C90" s="4" t="s">
        <v>71</v>
      </c>
      <c r="D90" s="4">
        <f>'phường Quảng Trị'!E134+'phường Quảng Trị'!E135+'phường Quảng Trị'!E136</f>
        <v>32</v>
      </c>
      <c r="E90" s="4">
        <f>'phường Quảng Trị'!F134+'phường Quảng Trị'!F135+'phường Quảng Trị'!F136</f>
        <v>2754</v>
      </c>
      <c r="F90" s="4">
        <f>'phường Quảng Trị'!G134+'phường Quảng Trị'!G135+'phường Quảng Trị'!G136</f>
        <v>3</v>
      </c>
      <c r="G90" s="4">
        <f>'phường Quảng Trị'!H134+'phường Quảng Trị'!H135+'phường Quảng Trị'!H136</f>
        <v>449</v>
      </c>
      <c r="H90" s="4">
        <f>'phường Quảng Trị'!I134+'phường Quảng Trị'!I135+'phường Quảng Trị'!I136</f>
        <v>29</v>
      </c>
      <c r="I90" s="4">
        <f>'phường Quảng Trị'!J134+'phường Quảng Trị'!J135+'phường Quảng Trị'!J136</f>
        <v>2305</v>
      </c>
      <c r="J90" s="4">
        <f>'phường Quảng Trị'!K134+'phường Quảng Trị'!K135+'phường Quảng Trị'!K136</f>
        <v>0</v>
      </c>
      <c r="K90" s="4">
        <f>'phường Quảng Trị'!L134+'phường Quảng Trị'!L135+'phường Quảng Trị'!L136</f>
        <v>0</v>
      </c>
      <c r="L90" s="4" t="s">
        <v>268</v>
      </c>
      <c r="M90" s="36"/>
    </row>
    <row r="91" spans="1:13">
      <c r="A91" s="2">
        <v>6</v>
      </c>
      <c r="B91" s="4" t="s">
        <v>16</v>
      </c>
      <c r="C91" s="4" t="s">
        <v>341</v>
      </c>
      <c r="D91" s="4">
        <f t="shared" si="10"/>
        <v>1</v>
      </c>
      <c r="E91" s="4">
        <f t="shared" si="10"/>
        <v>162</v>
      </c>
      <c r="F91" s="4">
        <v>1</v>
      </c>
      <c r="G91" s="4">
        <v>162</v>
      </c>
      <c r="H91" s="4"/>
      <c r="I91" s="4"/>
      <c r="J91" s="4"/>
      <c r="K91" s="4"/>
      <c r="L91" s="4"/>
      <c r="M91" s="36"/>
    </row>
    <row r="92" spans="1:13">
      <c r="A92" s="78">
        <v>7</v>
      </c>
      <c r="B92" s="4" t="s">
        <v>16</v>
      </c>
      <c r="C92" s="4" t="s">
        <v>80</v>
      </c>
      <c r="D92" s="4">
        <f>'phường Quảng Trị'!E138+'phường Quảng Trị'!E139</f>
        <v>17</v>
      </c>
      <c r="E92" s="4">
        <f>'phường Quảng Trị'!F138+'phường Quảng Trị'!F139</f>
        <v>742</v>
      </c>
      <c r="F92" s="4">
        <f>'phường Quảng Trị'!G138+'phường Quảng Trị'!G139</f>
        <v>4</v>
      </c>
      <c r="G92" s="4">
        <f>'phường Quảng Trị'!H138+'phường Quảng Trị'!H139</f>
        <v>688</v>
      </c>
      <c r="H92" s="4">
        <f>'phường Quảng Trị'!I138+'phường Quảng Trị'!I139</f>
        <v>3</v>
      </c>
      <c r="I92" s="4">
        <f>'phường Quảng Trị'!J138+'phường Quảng Trị'!J139</f>
        <v>24</v>
      </c>
      <c r="J92" s="4">
        <f>'phường Quảng Trị'!K138+'phường Quảng Trị'!K139</f>
        <v>10</v>
      </c>
      <c r="K92" s="4">
        <f>'phường Quảng Trị'!L138+'phường Quảng Trị'!L139</f>
        <v>30</v>
      </c>
      <c r="L92" s="4" t="s">
        <v>267</v>
      </c>
      <c r="M92" s="36"/>
    </row>
    <row r="93" spans="1:13">
      <c r="A93" s="2">
        <v>8</v>
      </c>
      <c r="B93" s="4" t="s">
        <v>16</v>
      </c>
      <c r="C93" s="4" t="s">
        <v>81</v>
      </c>
      <c r="D93" s="4">
        <f t="shared" si="10"/>
        <v>4</v>
      </c>
      <c r="E93" s="4">
        <f t="shared" si="10"/>
        <v>547</v>
      </c>
      <c r="F93" s="4">
        <v>4</v>
      </c>
      <c r="G93" s="4">
        <f>231+92+139+85</f>
        <v>547</v>
      </c>
      <c r="H93" s="4"/>
      <c r="I93" s="4"/>
      <c r="J93" s="4"/>
      <c r="K93" s="4"/>
      <c r="L93" s="4"/>
      <c r="M93" s="36"/>
    </row>
    <row r="94" spans="1:13">
      <c r="A94" s="78">
        <v>9</v>
      </c>
      <c r="B94" s="4" t="s">
        <v>16</v>
      </c>
      <c r="C94" s="4" t="s">
        <v>342</v>
      </c>
      <c r="D94" s="4">
        <f t="shared" si="10"/>
        <v>1</v>
      </c>
      <c r="E94" s="4">
        <f t="shared" si="10"/>
        <v>119</v>
      </c>
      <c r="F94" s="4">
        <v>1</v>
      </c>
      <c r="G94" s="4">
        <v>119</v>
      </c>
      <c r="H94" s="4"/>
      <c r="I94" s="4"/>
      <c r="J94" s="4"/>
      <c r="K94" s="4"/>
      <c r="L94" s="4"/>
      <c r="M94" s="36"/>
    </row>
    <row r="95" spans="1:13">
      <c r="A95" s="2">
        <v>10</v>
      </c>
      <c r="B95" s="4" t="s">
        <v>16</v>
      </c>
      <c r="C95" s="4" t="s">
        <v>82</v>
      </c>
      <c r="D95" s="4">
        <f>'phường Quảng Trị'!E142+'phường Quảng Trị'!E143+'phường Quảng Trị'!E144</f>
        <v>24</v>
      </c>
      <c r="E95" s="4">
        <f>'phường Quảng Trị'!F142+'phường Quảng Trị'!F143+'phường Quảng Trị'!F144</f>
        <v>1206</v>
      </c>
      <c r="F95" s="4">
        <f>'phường Quảng Trị'!G142+'phường Quảng Trị'!G143+'phường Quảng Trị'!G144</f>
        <v>4</v>
      </c>
      <c r="G95" s="4">
        <f>'phường Quảng Trị'!H142+'phường Quảng Trị'!H143+'phường Quảng Trị'!H144</f>
        <v>550</v>
      </c>
      <c r="H95" s="4">
        <f>'phường Quảng Trị'!I142+'phường Quảng Trị'!I143+'phường Quảng Trị'!I144</f>
        <v>20</v>
      </c>
      <c r="I95" s="4">
        <f>'phường Quảng Trị'!J142+'phường Quảng Trị'!J143+'phường Quảng Trị'!J144</f>
        <v>656</v>
      </c>
      <c r="J95" s="4">
        <f>'phường Quảng Trị'!K142+'phường Quảng Trị'!K143+'phường Quảng Trị'!K144</f>
        <v>0</v>
      </c>
      <c r="K95" s="4">
        <f>'phường Quảng Trị'!L142+'phường Quảng Trị'!L143+'phường Quảng Trị'!L144</f>
        <v>0</v>
      </c>
      <c r="L95" s="4" t="s">
        <v>268</v>
      </c>
      <c r="M95" s="36"/>
    </row>
    <row r="96" spans="1:13">
      <c r="A96" s="78">
        <v>11</v>
      </c>
      <c r="B96" s="4" t="s">
        <v>16</v>
      </c>
      <c r="C96" s="4" t="s">
        <v>83</v>
      </c>
      <c r="D96" s="4">
        <f>'phường Quảng Trị'!E145+'phường Quảng Trị'!E146</f>
        <v>2</v>
      </c>
      <c r="E96" s="4">
        <f>'phường Quảng Trị'!F145+'phường Quảng Trị'!F146</f>
        <v>144</v>
      </c>
      <c r="F96" s="4">
        <f>'phường Quảng Trị'!G145+'phường Quảng Trị'!G146</f>
        <v>1</v>
      </c>
      <c r="G96" s="4">
        <f>'phường Quảng Trị'!H145+'phường Quảng Trị'!H146</f>
        <v>100</v>
      </c>
      <c r="H96" s="4">
        <f>'phường Quảng Trị'!I145+'phường Quảng Trị'!I146</f>
        <v>1</v>
      </c>
      <c r="I96" s="4">
        <f>'phường Quảng Trị'!J145+'phường Quảng Trị'!J146</f>
        <v>44</v>
      </c>
      <c r="J96" s="4">
        <f>'phường Quảng Trị'!K145+'phường Quảng Trị'!K146</f>
        <v>0</v>
      </c>
      <c r="K96" s="4">
        <f>'phường Quảng Trị'!L145+'phường Quảng Trị'!L146</f>
        <v>0</v>
      </c>
      <c r="L96" s="4" t="s">
        <v>267</v>
      </c>
      <c r="M96" s="36"/>
    </row>
    <row r="97" spans="1:13">
      <c r="A97" s="2">
        <v>12</v>
      </c>
      <c r="B97" s="4" t="s">
        <v>16</v>
      </c>
      <c r="C97" s="4" t="s">
        <v>96</v>
      </c>
      <c r="D97" s="4">
        <f>'phường Quảng Trị'!E147+'phường Quảng Trị'!E148</f>
        <v>7</v>
      </c>
      <c r="E97" s="4">
        <f>'phường Quảng Trị'!F147+'phường Quảng Trị'!F148</f>
        <v>529</v>
      </c>
      <c r="F97" s="4">
        <f>'phường Quảng Trị'!G147+'phường Quảng Trị'!G148</f>
        <v>0</v>
      </c>
      <c r="G97" s="4">
        <f>'phường Quảng Trị'!H147+'phường Quảng Trị'!H148</f>
        <v>0</v>
      </c>
      <c r="H97" s="4">
        <f>'phường Quảng Trị'!I147+'phường Quảng Trị'!I148</f>
        <v>7</v>
      </c>
      <c r="I97" s="4">
        <f>'phường Quảng Trị'!J147+'phường Quảng Trị'!J148</f>
        <v>529</v>
      </c>
      <c r="J97" s="4">
        <f>'phường Quảng Trị'!K147+'phường Quảng Trị'!K148</f>
        <v>0</v>
      </c>
      <c r="K97" s="4">
        <f>'phường Quảng Trị'!L147+'phường Quảng Trị'!L148</f>
        <v>0</v>
      </c>
      <c r="L97" s="4" t="s">
        <v>267</v>
      </c>
      <c r="M97" s="36"/>
    </row>
    <row r="98" spans="1:13">
      <c r="A98" s="78">
        <v>13</v>
      </c>
      <c r="B98" s="4" t="s">
        <v>16</v>
      </c>
      <c r="C98" s="7" t="s">
        <v>356</v>
      </c>
      <c r="D98" s="4">
        <f t="shared" ref="D98:E99" si="11">F98+H98+J98</f>
        <v>1</v>
      </c>
      <c r="E98" s="4">
        <f t="shared" si="11"/>
        <v>88</v>
      </c>
      <c r="F98" s="4">
        <v>1</v>
      </c>
      <c r="G98" s="4">
        <v>88</v>
      </c>
      <c r="H98" s="4"/>
      <c r="I98" s="4"/>
      <c r="J98" s="4"/>
      <c r="K98" s="4"/>
      <c r="L98" s="4"/>
      <c r="M98" s="36"/>
    </row>
    <row r="99" spans="1:13">
      <c r="A99" s="2">
        <v>14</v>
      </c>
      <c r="B99" s="4" t="s">
        <v>16</v>
      </c>
      <c r="C99" s="4" t="s">
        <v>97</v>
      </c>
      <c r="D99" s="4">
        <f t="shared" si="11"/>
        <v>11</v>
      </c>
      <c r="E99" s="4">
        <f t="shared" si="11"/>
        <v>128</v>
      </c>
      <c r="F99" s="4">
        <v>1</v>
      </c>
      <c r="G99" s="4">
        <v>120</v>
      </c>
      <c r="H99" s="4"/>
      <c r="I99" s="4"/>
      <c r="J99" s="4">
        <v>10</v>
      </c>
      <c r="K99" s="4">
        <v>8</v>
      </c>
      <c r="L99" s="4"/>
      <c r="M99" s="36"/>
    </row>
    <row r="100" spans="1:13">
      <c r="A100" s="78">
        <v>15</v>
      </c>
      <c r="B100" s="4" t="s">
        <v>16</v>
      </c>
      <c r="C100" s="4" t="s">
        <v>146</v>
      </c>
      <c r="D100" s="4">
        <f>'phường Quảng Trị'!E151+'phường Quảng Trị'!E152</f>
        <v>2</v>
      </c>
      <c r="E100" s="4">
        <f>'phường Quảng Trị'!F151+'phường Quảng Trị'!F152</f>
        <v>148</v>
      </c>
      <c r="F100" s="4">
        <f>'phường Quảng Trị'!G151+'phường Quảng Trị'!G152</f>
        <v>1</v>
      </c>
      <c r="G100" s="4">
        <f>'phường Quảng Trị'!H151+'phường Quảng Trị'!H152</f>
        <v>83</v>
      </c>
      <c r="H100" s="4">
        <f>'phường Quảng Trị'!I151+'phường Quảng Trị'!I152</f>
        <v>1</v>
      </c>
      <c r="I100" s="4">
        <f>'phường Quảng Trị'!J151+'phường Quảng Trị'!J152</f>
        <v>65</v>
      </c>
      <c r="J100" s="4">
        <f>'phường Quảng Trị'!K151+'phường Quảng Trị'!K152</f>
        <v>0</v>
      </c>
      <c r="K100" s="4">
        <f>'phường Quảng Trị'!L151+'phường Quảng Trị'!L152</f>
        <v>0</v>
      </c>
      <c r="L100" s="4" t="s">
        <v>267</v>
      </c>
      <c r="M100" s="36"/>
    </row>
    <row r="101" spans="1:13">
      <c r="A101" s="2">
        <v>16</v>
      </c>
      <c r="B101" s="4" t="s">
        <v>16</v>
      </c>
      <c r="C101" s="4" t="s">
        <v>120</v>
      </c>
      <c r="D101" s="4">
        <f t="shared" ref="D101:E110" si="12">F101+H101+J101</f>
        <v>1</v>
      </c>
      <c r="E101" s="7">
        <f t="shared" si="12"/>
        <v>210</v>
      </c>
      <c r="F101" s="4">
        <v>1</v>
      </c>
      <c r="G101" s="4">
        <v>210</v>
      </c>
      <c r="H101" s="4"/>
      <c r="I101" s="4"/>
      <c r="J101" s="4"/>
      <c r="K101" s="4"/>
      <c r="L101" s="4"/>
      <c r="M101" s="36"/>
    </row>
    <row r="102" spans="1:13">
      <c r="A102" s="78">
        <v>17</v>
      </c>
      <c r="B102" s="4" t="s">
        <v>16</v>
      </c>
      <c r="C102" s="4" t="s">
        <v>343</v>
      </c>
      <c r="D102" s="4">
        <f t="shared" si="12"/>
        <v>2</v>
      </c>
      <c r="E102" s="7">
        <f t="shared" si="12"/>
        <v>144</v>
      </c>
      <c r="F102" s="4">
        <v>1</v>
      </c>
      <c r="G102" s="4">
        <v>92</v>
      </c>
      <c r="H102" s="4">
        <v>1</v>
      </c>
      <c r="I102" s="4">
        <v>52</v>
      </c>
      <c r="J102" s="4"/>
      <c r="K102" s="4"/>
      <c r="L102" s="4"/>
      <c r="M102" s="36"/>
    </row>
    <row r="103" spans="1:13" s="12" customFormat="1">
      <c r="A103" s="2">
        <v>18</v>
      </c>
      <c r="B103" s="7" t="s">
        <v>16</v>
      </c>
      <c r="C103" s="7" t="s">
        <v>121</v>
      </c>
      <c r="D103" s="7">
        <f t="shared" si="12"/>
        <v>16</v>
      </c>
      <c r="E103" s="7">
        <f t="shared" si="12"/>
        <v>262</v>
      </c>
      <c r="F103" s="7">
        <v>1</v>
      </c>
      <c r="G103" s="7">
        <v>115</v>
      </c>
      <c r="H103" s="7">
        <v>9</v>
      </c>
      <c r="I103" s="7">
        <f>36+39+36</f>
        <v>111</v>
      </c>
      <c r="J103" s="7">
        <v>6</v>
      </c>
      <c r="K103" s="7">
        <v>36</v>
      </c>
      <c r="L103" s="7"/>
      <c r="M103" s="36"/>
    </row>
    <row r="104" spans="1:13">
      <c r="A104" s="78">
        <v>19</v>
      </c>
      <c r="B104" s="4" t="s">
        <v>16</v>
      </c>
      <c r="C104" s="4" t="s">
        <v>344</v>
      </c>
      <c r="D104" s="4">
        <f>'phường Quảng Trị'!E156+'phường Quảng Trị'!E157</f>
        <v>13</v>
      </c>
      <c r="E104" s="4">
        <f>'phường Quảng Trị'!F156+'phường Quảng Trị'!F157</f>
        <v>473</v>
      </c>
      <c r="F104" s="4">
        <f>'phường Quảng Trị'!G156+'phường Quảng Trị'!G157</f>
        <v>3</v>
      </c>
      <c r="G104" s="4">
        <f>'phường Quảng Trị'!H156+'phường Quảng Trị'!H157</f>
        <v>433</v>
      </c>
      <c r="H104" s="4">
        <f>'phường Quảng Trị'!I156+'phường Quảng Trị'!I157</f>
        <v>0</v>
      </c>
      <c r="I104" s="4">
        <f>'phường Quảng Trị'!J156+'phường Quảng Trị'!J157</f>
        <v>0</v>
      </c>
      <c r="J104" s="4">
        <f>'phường Quảng Trị'!K156+'phường Quảng Trị'!K157</f>
        <v>10</v>
      </c>
      <c r="K104" s="4">
        <f>'phường Quảng Trị'!L156+'phường Quảng Trị'!L157</f>
        <v>40</v>
      </c>
      <c r="L104" s="4" t="s">
        <v>267</v>
      </c>
      <c r="M104" s="36"/>
    </row>
    <row r="105" spans="1:13">
      <c r="A105" s="2">
        <v>20</v>
      </c>
      <c r="B105" s="4" t="s">
        <v>16</v>
      </c>
      <c r="C105" s="4" t="s">
        <v>345</v>
      </c>
      <c r="D105" s="4">
        <f>'phường Quảng Trị'!E158+'phường Quảng Trị'!E159</f>
        <v>7</v>
      </c>
      <c r="E105" s="4">
        <f>'phường Quảng Trị'!F158+'phường Quảng Trị'!F159</f>
        <v>164</v>
      </c>
      <c r="F105" s="4">
        <f>'phường Quảng Trị'!G158+'phường Quảng Trị'!G159</f>
        <v>0</v>
      </c>
      <c r="G105" s="4">
        <f>'phường Quảng Trị'!H158+'phường Quảng Trị'!H159</f>
        <v>0</v>
      </c>
      <c r="H105" s="4">
        <f>'phường Quảng Trị'!I158+'phường Quảng Trị'!I159</f>
        <v>7</v>
      </c>
      <c r="I105" s="4">
        <f>'phường Quảng Trị'!J158+'phường Quảng Trị'!J159</f>
        <v>164</v>
      </c>
      <c r="J105" s="4">
        <f>'phường Quảng Trị'!K158+'phường Quảng Trị'!K159</f>
        <v>0</v>
      </c>
      <c r="K105" s="4">
        <f>'phường Quảng Trị'!L158+'phường Quảng Trị'!L159</f>
        <v>0</v>
      </c>
      <c r="L105" s="4" t="s">
        <v>267</v>
      </c>
      <c r="M105" s="36"/>
    </row>
    <row r="106" spans="1:13">
      <c r="A106" s="78">
        <v>21</v>
      </c>
      <c r="B106" s="4" t="s">
        <v>16</v>
      </c>
      <c r="C106" s="4" t="s">
        <v>124</v>
      </c>
      <c r="D106" s="4">
        <f t="shared" si="12"/>
        <v>2</v>
      </c>
      <c r="E106" s="7">
        <f t="shared" si="12"/>
        <v>85</v>
      </c>
      <c r="F106" s="4"/>
      <c r="G106" s="4"/>
      <c r="H106" s="4">
        <v>2</v>
      </c>
      <c r="I106" s="4">
        <f>42+43</f>
        <v>85</v>
      </c>
      <c r="J106" s="4"/>
      <c r="K106" s="4"/>
      <c r="L106" s="4"/>
      <c r="M106" s="36"/>
    </row>
    <row r="107" spans="1:13">
      <c r="A107" s="2">
        <v>22</v>
      </c>
      <c r="B107" s="4" t="s">
        <v>16</v>
      </c>
      <c r="C107" s="4" t="s">
        <v>144</v>
      </c>
      <c r="D107" s="4">
        <f t="shared" si="12"/>
        <v>1</v>
      </c>
      <c r="E107" s="4">
        <f t="shared" si="12"/>
        <v>101</v>
      </c>
      <c r="F107" s="4">
        <v>1</v>
      </c>
      <c r="G107" s="4">
        <v>101</v>
      </c>
      <c r="H107" s="4"/>
      <c r="I107" s="4"/>
      <c r="J107" s="4"/>
      <c r="K107" s="4"/>
      <c r="L107" s="4"/>
      <c r="M107" s="36"/>
    </row>
    <row r="108" spans="1:13">
      <c r="A108" s="78">
        <v>23</v>
      </c>
      <c r="B108" s="4" t="s">
        <v>16</v>
      </c>
      <c r="C108" s="4" t="s">
        <v>346</v>
      </c>
      <c r="D108" s="4">
        <f>'phường Quảng Trị'!E162+'phường Quảng Trị'!E163</f>
        <v>15</v>
      </c>
      <c r="E108" s="4">
        <f>'phường Quảng Trị'!F162+'phường Quảng Trị'!F163</f>
        <v>599</v>
      </c>
      <c r="F108" s="4">
        <f>'phường Quảng Trị'!G162+'phường Quảng Trị'!G163</f>
        <v>4</v>
      </c>
      <c r="G108" s="4">
        <f>'phường Quảng Trị'!H162+'phường Quảng Trị'!H163</f>
        <v>390</v>
      </c>
      <c r="H108" s="4">
        <f>'phường Quảng Trị'!I162+'phường Quảng Trị'!I163</f>
        <v>7</v>
      </c>
      <c r="I108" s="4">
        <f>'phường Quảng Trị'!J162+'phường Quảng Trị'!J163</f>
        <v>201</v>
      </c>
      <c r="J108" s="4">
        <f>'phường Quảng Trị'!K162+'phường Quảng Trị'!K163</f>
        <v>4</v>
      </c>
      <c r="K108" s="4">
        <f>'phường Quảng Trị'!L162+'phường Quảng Trị'!L163</f>
        <v>8</v>
      </c>
      <c r="L108" s="4" t="s">
        <v>267</v>
      </c>
      <c r="M108" s="36"/>
    </row>
    <row r="109" spans="1:13">
      <c r="A109" s="2">
        <v>24</v>
      </c>
      <c r="B109" s="4" t="s">
        <v>16</v>
      </c>
      <c r="C109" s="7" t="s">
        <v>145</v>
      </c>
      <c r="D109" s="4">
        <f t="shared" si="12"/>
        <v>42</v>
      </c>
      <c r="E109" s="4">
        <f t="shared" si="12"/>
        <v>1085</v>
      </c>
      <c r="F109" s="4">
        <v>4</v>
      </c>
      <c r="G109" s="4">
        <f>144+217+175+133</f>
        <v>669</v>
      </c>
      <c r="H109" s="4">
        <f>4+4+4+4+4+4</f>
        <v>24</v>
      </c>
      <c r="I109" s="4">
        <f>60+62+58+60+58+62</f>
        <v>360</v>
      </c>
      <c r="J109" s="4">
        <v>14</v>
      </c>
      <c r="K109" s="4">
        <v>56</v>
      </c>
      <c r="L109" s="4"/>
      <c r="M109" s="36"/>
    </row>
    <row r="110" spans="1:13">
      <c r="A110" s="78">
        <v>25</v>
      </c>
      <c r="B110" s="4" t="s">
        <v>16</v>
      </c>
      <c r="C110" s="7" t="s">
        <v>151</v>
      </c>
      <c r="D110" s="4">
        <f t="shared" si="12"/>
        <v>38</v>
      </c>
      <c r="E110" s="4">
        <f t="shared" si="12"/>
        <v>4018</v>
      </c>
      <c r="F110" s="4">
        <v>5</v>
      </c>
      <c r="G110" s="4">
        <f>203+215+200+201+116</f>
        <v>935</v>
      </c>
      <c r="H110" s="4">
        <v>33</v>
      </c>
      <c r="I110" s="4">
        <f>127+129+125+130+124+128+126+127+127+128+126+108+110+109+107+121+105+108+108+110+106+94+96+92+104+106+102</f>
        <v>3083</v>
      </c>
      <c r="J110" s="4"/>
      <c r="K110" s="4"/>
      <c r="L110" s="4"/>
      <c r="M110" s="36"/>
    </row>
    <row r="111" spans="1:13">
      <c r="A111" s="2">
        <v>26</v>
      </c>
      <c r="B111" s="4" t="s">
        <v>16</v>
      </c>
      <c r="C111" s="7" t="s">
        <v>157</v>
      </c>
      <c r="D111" s="4">
        <f>'phường Quảng Trị'!E166+'phường Quảng Trị'!E167+'phường Quảng Trị'!E168</f>
        <v>46</v>
      </c>
      <c r="E111" s="4">
        <f>'phường Quảng Trị'!F166+'phường Quảng Trị'!F167+'phường Quảng Trị'!F168</f>
        <v>1404</v>
      </c>
      <c r="F111" s="4">
        <f>'phường Quảng Trị'!G166+'phường Quảng Trị'!G167+'phường Quảng Trị'!G168</f>
        <v>7</v>
      </c>
      <c r="G111" s="4">
        <f>'phường Quảng Trị'!H166+'phường Quảng Trị'!H167+'phường Quảng Trị'!H168</f>
        <v>1170</v>
      </c>
      <c r="H111" s="4">
        <f>'phường Quảng Trị'!I166+'phường Quảng Trị'!I167+'phường Quảng Trị'!I168</f>
        <v>39</v>
      </c>
      <c r="I111" s="4">
        <f>'phường Quảng Trị'!J166+'phường Quảng Trị'!J167+'phường Quảng Trị'!J168</f>
        <v>234</v>
      </c>
      <c r="J111" s="4">
        <f>'phường Quảng Trị'!K166+'phường Quảng Trị'!K167+'phường Quảng Trị'!K168</f>
        <v>0</v>
      </c>
      <c r="K111" s="4">
        <f>'phường Quảng Trị'!L166+'phường Quảng Trị'!L167+'phường Quảng Trị'!L168</f>
        <v>0</v>
      </c>
      <c r="L111" s="4" t="s">
        <v>268</v>
      </c>
      <c r="M111" s="36"/>
    </row>
    <row r="112" spans="1:13">
      <c r="A112" s="78">
        <v>27</v>
      </c>
      <c r="B112" s="4" t="s">
        <v>16</v>
      </c>
      <c r="C112" s="7" t="s">
        <v>158</v>
      </c>
      <c r="D112" s="4">
        <f>'phường Quảng Trị'!E169+'phường Quảng Trị'!E170</f>
        <v>24</v>
      </c>
      <c r="E112" s="4">
        <f>'phường Quảng Trị'!F169+'phường Quảng Trị'!F170</f>
        <v>367</v>
      </c>
      <c r="F112" s="4">
        <f>'phường Quảng Trị'!G169+'phường Quảng Trị'!G170</f>
        <v>2</v>
      </c>
      <c r="G112" s="4">
        <f>'phường Quảng Trị'!H169+'phường Quảng Trị'!H170</f>
        <v>265</v>
      </c>
      <c r="H112" s="4">
        <f>'phường Quảng Trị'!I169+'phường Quảng Trị'!I170</f>
        <v>2</v>
      </c>
      <c r="I112" s="4">
        <f>'phường Quảng Trị'!J169+'phường Quảng Trị'!J170</f>
        <v>82</v>
      </c>
      <c r="J112" s="4">
        <f>'phường Quảng Trị'!K169+'phường Quảng Trị'!K170</f>
        <v>20</v>
      </c>
      <c r="K112" s="4">
        <f>'phường Quảng Trị'!L169+'phường Quảng Trị'!L170</f>
        <v>20</v>
      </c>
      <c r="L112" s="4" t="s">
        <v>267</v>
      </c>
      <c r="M112" s="36"/>
    </row>
    <row r="113" spans="1:13">
      <c r="A113" s="2">
        <v>28</v>
      </c>
      <c r="B113" s="4" t="s">
        <v>16</v>
      </c>
      <c r="C113" s="7" t="s">
        <v>159</v>
      </c>
      <c r="D113" s="4">
        <f t="shared" ref="D113:E125" si="13">F113+H113+J113</f>
        <v>2</v>
      </c>
      <c r="E113" s="4">
        <f t="shared" si="13"/>
        <v>49</v>
      </c>
      <c r="F113" s="4"/>
      <c r="G113" s="4"/>
      <c r="H113" s="4">
        <v>2</v>
      </c>
      <c r="I113" s="4">
        <f>25+24</f>
        <v>49</v>
      </c>
      <c r="J113" s="4"/>
      <c r="K113" s="4"/>
      <c r="L113" s="4"/>
      <c r="M113" s="36"/>
    </row>
    <row r="114" spans="1:13">
      <c r="A114" s="78">
        <v>29</v>
      </c>
      <c r="B114" s="4" t="s">
        <v>16</v>
      </c>
      <c r="C114" s="7" t="s">
        <v>347</v>
      </c>
      <c r="D114" s="4">
        <f t="shared" si="13"/>
        <v>2</v>
      </c>
      <c r="E114" s="4">
        <f t="shared" si="13"/>
        <v>168</v>
      </c>
      <c r="F114" s="4">
        <v>1</v>
      </c>
      <c r="G114" s="4">
        <v>133</v>
      </c>
      <c r="H114" s="4">
        <v>1</v>
      </c>
      <c r="I114" s="4">
        <v>35</v>
      </c>
      <c r="J114" s="4"/>
      <c r="K114" s="4"/>
      <c r="L114" s="4"/>
      <c r="M114" s="36"/>
    </row>
    <row r="115" spans="1:13">
      <c r="A115" s="2">
        <v>30</v>
      </c>
      <c r="B115" s="4" t="s">
        <v>16</v>
      </c>
      <c r="C115" s="7" t="s">
        <v>162</v>
      </c>
      <c r="D115" s="4">
        <f>'phường Quảng Trị'!E173+'phường Quảng Trị'!E174+'phường Quảng Trị'!E175</f>
        <v>17</v>
      </c>
      <c r="E115" s="4">
        <f>'phường Quảng Trị'!F173+'phường Quảng Trị'!F174+'phường Quảng Trị'!F175</f>
        <v>602</v>
      </c>
      <c r="F115" s="4">
        <f>'phường Quảng Trị'!G173+'phường Quảng Trị'!G174+'phường Quảng Trị'!G175</f>
        <v>3</v>
      </c>
      <c r="G115" s="4">
        <f>'phường Quảng Trị'!H173+'phường Quảng Trị'!H174+'phường Quảng Trị'!H175</f>
        <v>207</v>
      </c>
      <c r="H115" s="4">
        <f>'phường Quảng Trị'!I173+'phường Quảng Trị'!I174+'phường Quảng Trị'!I175</f>
        <v>6</v>
      </c>
      <c r="I115" s="4">
        <f>'phường Quảng Trị'!J173+'phường Quảng Trị'!J174+'phường Quảng Trị'!J175</f>
        <v>355</v>
      </c>
      <c r="J115" s="4">
        <f>'phường Quảng Trị'!K173+'phường Quảng Trị'!K174+'phường Quảng Trị'!K175</f>
        <v>8</v>
      </c>
      <c r="K115" s="4">
        <f>'phường Quảng Trị'!L173+'phường Quảng Trị'!L174+'phường Quảng Trị'!L175</f>
        <v>40</v>
      </c>
      <c r="L115" s="4" t="s">
        <v>268</v>
      </c>
      <c r="M115" s="36"/>
    </row>
    <row r="116" spans="1:13">
      <c r="A116" s="78">
        <v>31</v>
      </c>
      <c r="B116" s="4" t="s">
        <v>16</v>
      </c>
      <c r="C116" s="7" t="s">
        <v>163</v>
      </c>
      <c r="D116" s="4">
        <f t="shared" si="13"/>
        <v>39</v>
      </c>
      <c r="E116" s="4">
        <f t="shared" si="13"/>
        <v>1265</v>
      </c>
      <c r="F116" s="4">
        <v>4</v>
      </c>
      <c r="G116" s="4">
        <f>85+107+105+100</f>
        <v>397</v>
      </c>
      <c r="H116" s="4">
        <f>5+8</f>
        <v>13</v>
      </c>
      <c r="I116" s="4">
        <f>44+45+43+43+44+74+73+71+70+75+72+71+71</f>
        <v>796</v>
      </c>
      <c r="J116" s="4">
        <f>10+12</f>
        <v>22</v>
      </c>
      <c r="K116" s="4">
        <f>60+12</f>
        <v>72</v>
      </c>
      <c r="L116" s="4"/>
      <c r="M116" s="36"/>
    </row>
    <row r="117" spans="1:13">
      <c r="A117" s="2">
        <v>32</v>
      </c>
      <c r="B117" s="4" t="s">
        <v>16</v>
      </c>
      <c r="C117" s="7" t="s">
        <v>164</v>
      </c>
      <c r="D117" s="4">
        <f t="shared" si="13"/>
        <v>10</v>
      </c>
      <c r="E117" s="4">
        <f t="shared" si="13"/>
        <v>555</v>
      </c>
      <c r="F117" s="4"/>
      <c r="G117" s="4"/>
      <c r="H117" s="4">
        <v>10</v>
      </c>
      <c r="I117" s="4">
        <f>55+56+57+55+59+55+60+59+50+49</f>
        <v>555</v>
      </c>
      <c r="J117" s="4"/>
      <c r="K117" s="4"/>
      <c r="L117" s="4" t="s">
        <v>272</v>
      </c>
      <c r="M117" s="36"/>
    </row>
    <row r="118" spans="1:13">
      <c r="A118" s="78">
        <v>33</v>
      </c>
      <c r="B118" s="4" t="s">
        <v>16</v>
      </c>
      <c r="C118" s="7" t="s">
        <v>348</v>
      </c>
      <c r="D118" s="4">
        <f t="shared" si="13"/>
        <v>11</v>
      </c>
      <c r="E118" s="4">
        <f t="shared" si="13"/>
        <v>772</v>
      </c>
      <c r="F118" s="4"/>
      <c r="G118" s="4"/>
      <c r="H118" s="4">
        <v>11</v>
      </c>
      <c r="I118" s="4">
        <f>69+71+70+67+71+69+69+72+66+70+78</f>
        <v>772</v>
      </c>
      <c r="J118" s="4"/>
      <c r="K118" s="4"/>
      <c r="L118" s="4"/>
      <c r="M118" s="36"/>
    </row>
    <row r="119" spans="1:13">
      <c r="A119" s="2">
        <v>34</v>
      </c>
      <c r="B119" s="4" t="s">
        <v>16</v>
      </c>
      <c r="C119" s="7" t="s">
        <v>349</v>
      </c>
      <c r="D119" s="4">
        <f>'phường Quảng Trị'!E179+'phường Quảng Trị'!E180</f>
        <v>15</v>
      </c>
      <c r="E119" s="4">
        <f>'phường Quảng Trị'!F179+'phường Quảng Trị'!F180</f>
        <v>1191</v>
      </c>
      <c r="F119" s="4">
        <f>'phường Quảng Trị'!G179+'phường Quảng Trị'!G180</f>
        <v>2</v>
      </c>
      <c r="G119" s="4">
        <f>'phường Quảng Trị'!H179+'phường Quảng Trị'!H180</f>
        <v>384</v>
      </c>
      <c r="H119" s="4">
        <f>'phường Quảng Trị'!I179+'phường Quảng Trị'!I180</f>
        <v>13</v>
      </c>
      <c r="I119" s="4">
        <f>'phường Quảng Trị'!J179+'phường Quảng Trị'!J180</f>
        <v>807</v>
      </c>
      <c r="J119" s="4">
        <f>'phường Quảng Trị'!K179+'phường Quảng Trị'!K180</f>
        <v>0</v>
      </c>
      <c r="K119" s="4">
        <f>'phường Quảng Trị'!L179+'phường Quảng Trị'!L180</f>
        <v>0</v>
      </c>
      <c r="L119" s="4" t="s">
        <v>267</v>
      </c>
      <c r="M119" s="36"/>
    </row>
    <row r="120" spans="1:13">
      <c r="A120" s="78">
        <v>35</v>
      </c>
      <c r="B120" s="4" t="s">
        <v>16</v>
      </c>
      <c r="C120" s="7" t="s">
        <v>166</v>
      </c>
      <c r="D120" s="4">
        <f t="shared" si="13"/>
        <v>6</v>
      </c>
      <c r="E120" s="4">
        <f t="shared" si="13"/>
        <v>747</v>
      </c>
      <c r="F120" s="4">
        <v>4</v>
      </c>
      <c r="G120" s="4">
        <f>140+220+183+134</f>
        <v>677</v>
      </c>
      <c r="H120" s="4">
        <v>2</v>
      </c>
      <c r="I120" s="4">
        <f>47+23</f>
        <v>70</v>
      </c>
      <c r="J120" s="4"/>
      <c r="K120" s="4"/>
      <c r="L120" s="4"/>
      <c r="M120" s="36"/>
    </row>
    <row r="121" spans="1:13">
      <c r="A121" s="2">
        <v>36</v>
      </c>
      <c r="B121" s="4" t="s">
        <v>16</v>
      </c>
      <c r="C121" s="7" t="s">
        <v>350</v>
      </c>
      <c r="D121" s="4">
        <f t="shared" si="13"/>
        <v>9</v>
      </c>
      <c r="E121" s="4">
        <f t="shared" si="13"/>
        <v>1014</v>
      </c>
      <c r="F121" s="4"/>
      <c r="G121" s="4"/>
      <c r="H121" s="4">
        <v>9</v>
      </c>
      <c r="I121" s="4">
        <f>111+113+109+112+110+111+112+120+116</f>
        <v>1014</v>
      </c>
      <c r="J121" s="4"/>
      <c r="K121" s="4"/>
      <c r="L121" s="4"/>
      <c r="M121" s="36"/>
    </row>
    <row r="122" spans="1:13" s="12" customFormat="1">
      <c r="A122" s="78">
        <v>37</v>
      </c>
      <c r="B122" s="4" t="s">
        <v>16</v>
      </c>
      <c r="C122" s="7" t="s">
        <v>171</v>
      </c>
      <c r="D122" s="4">
        <f>'phường Quảng Trị'!E183+'phường Quảng Trị'!E184</f>
        <v>11</v>
      </c>
      <c r="E122" s="4">
        <f>'phường Quảng Trị'!F183+'phường Quảng Trị'!F184</f>
        <v>441</v>
      </c>
      <c r="F122" s="4">
        <f>'phường Quảng Trị'!G183+'phường Quảng Trị'!G184</f>
        <v>1</v>
      </c>
      <c r="G122" s="4">
        <f>'phường Quảng Trị'!H183+'phường Quảng Trị'!H184</f>
        <v>151</v>
      </c>
      <c r="H122" s="4">
        <f>'phường Quảng Trị'!I183+'phường Quảng Trị'!I184</f>
        <v>10</v>
      </c>
      <c r="I122" s="4">
        <f>'phường Quảng Trị'!J183+'phường Quảng Trị'!J184</f>
        <v>290</v>
      </c>
      <c r="J122" s="4">
        <f>'phường Quảng Trị'!K183+'phường Quảng Trị'!K184</f>
        <v>0</v>
      </c>
      <c r="K122" s="4">
        <f>'phường Quảng Trị'!L183+'phường Quảng Trị'!L184</f>
        <v>0</v>
      </c>
      <c r="L122" s="4" t="s">
        <v>267</v>
      </c>
      <c r="M122" s="36"/>
    </row>
    <row r="123" spans="1:13">
      <c r="A123" s="2">
        <v>38</v>
      </c>
      <c r="B123" s="4" t="s">
        <v>16</v>
      </c>
      <c r="C123" s="7" t="s">
        <v>172</v>
      </c>
      <c r="D123" s="4">
        <f>'phường Quảng Trị'!E185+'phường Quảng Trị'!E186+'phường Quảng Trị'!E187+'phường Quảng Trị'!E188</f>
        <v>30</v>
      </c>
      <c r="E123" s="4">
        <f>'phường Quảng Trị'!F185+'phường Quảng Trị'!F186+'phường Quảng Trị'!F187+'phường Quảng Trị'!F188</f>
        <v>610</v>
      </c>
      <c r="F123" s="4">
        <f>'phường Quảng Trị'!G185+'phường Quảng Trị'!G186+'phường Quảng Trị'!G187+'phường Quảng Trị'!G188</f>
        <v>4</v>
      </c>
      <c r="G123" s="4">
        <f>'phường Quảng Trị'!H185+'phường Quảng Trị'!H186+'phường Quảng Trị'!H187+'phường Quảng Trị'!H188</f>
        <v>427</v>
      </c>
      <c r="H123" s="4">
        <f>'phường Quảng Trị'!I185+'phường Quảng Trị'!I186+'phường Quảng Trị'!I187+'phường Quảng Trị'!I188</f>
        <v>10</v>
      </c>
      <c r="I123" s="4">
        <f>'phường Quảng Trị'!J185+'phường Quảng Trị'!J186+'phường Quảng Trị'!J187+'phường Quảng Trị'!J188</f>
        <v>170</v>
      </c>
      <c r="J123" s="4">
        <f>'phường Quảng Trị'!K185+'phường Quảng Trị'!K186+'phường Quảng Trị'!K187+'phường Quảng Trị'!K188</f>
        <v>16</v>
      </c>
      <c r="K123" s="4">
        <f>'phường Quảng Trị'!L185+'phường Quảng Trị'!L186+'phường Quảng Trị'!L187+'phường Quảng Trị'!L188</f>
        <v>13</v>
      </c>
      <c r="L123" s="4" t="s">
        <v>269</v>
      </c>
      <c r="M123" s="36"/>
    </row>
    <row r="124" spans="1:13">
      <c r="A124" s="78">
        <v>39</v>
      </c>
      <c r="B124" s="4" t="s">
        <v>16</v>
      </c>
      <c r="C124" s="7" t="s">
        <v>173</v>
      </c>
      <c r="D124" s="4">
        <f>'phường Quảng Trị'!E189+'phường Quảng Trị'!E190+'phường Quảng Trị'!E191</f>
        <v>13</v>
      </c>
      <c r="E124" s="4">
        <f>'phường Quảng Trị'!F189+'phường Quảng Trị'!F190+'phường Quảng Trị'!F191</f>
        <v>963</v>
      </c>
      <c r="F124" s="4">
        <f>'phường Quảng Trị'!G189+'phường Quảng Trị'!G190+'phường Quảng Trị'!G191</f>
        <v>1</v>
      </c>
      <c r="G124" s="4">
        <f>'phường Quảng Trị'!H189+'phường Quảng Trị'!H190+'phường Quảng Trị'!H191</f>
        <v>106</v>
      </c>
      <c r="H124" s="4">
        <f>'phường Quảng Trị'!I189+'phường Quảng Trị'!I190+'phường Quảng Trị'!I191</f>
        <v>12</v>
      </c>
      <c r="I124" s="4">
        <f>'phường Quảng Trị'!J189+'phường Quảng Trị'!J190+'phường Quảng Trị'!J191</f>
        <v>857</v>
      </c>
      <c r="J124" s="4">
        <f>'phường Quảng Trị'!K189+'phường Quảng Trị'!K190+'phường Quảng Trị'!K191</f>
        <v>0</v>
      </c>
      <c r="K124" s="4">
        <f>'phường Quảng Trị'!L189+'phường Quảng Trị'!L190+'phường Quảng Trị'!L191</f>
        <v>0</v>
      </c>
      <c r="L124" s="7" t="s">
        <v>360</v>
      </c>
      <c r="M124" s="36"/>
    </row>
    <row r="125" spans="1:13">
      <c r="A125" s="2">
        <v>40</v>
      </c>
      <c r="B125" s="4" t="s">
        <v>16</v>
      </c>
      <c r="C125" s="7" t="s">
        <v>174</v>
      </c>
      <c r="D125" s="4">
        <f t="shared" si="13"/>
        <v>2</v>
      </c>
      <c r="E125" s="4">
        <f t="shared" si="13"/>
        <v>150</v>
      </c>
      <c r="F125" s="4">
        <v>2</v>
      </c>
      <c r="G125" s="4">
        <f>97+53</f>
        <v>150</v>
      </c>
      <c r="H125" s="4"/>
      <c r="I125" s="4"/>
      <c r="J125" s="4"/>
      <c r="K125" s="4"/>
      <c r="L125" s="4"/>
      <c r="M125" s="36"/>
    </row>
    <row r="126" spans="1:13">
      <c r="A126" s="78">
        <v>41</v>
      </c>
      <c r="B126" s="4" t="s">
        <v>16</v>
      </c>
      <c r="C126" s="7" t="s">
        <v>175</v>
      </c>
      <c r="D126" s="4">
        <f>'phường Quảng Trị'!E193+'phường Quảng Trị'!E194</f>
        <v>64</v>
      </c>
      <c r="E126" s="4">
        <f>'phường Quảng Trị'!F193+'phường Quảng Trị'!F194</f>
        <v>3656</v>
      </c>
      <c r="F126" s="4">
        <f>'phường Quảng Trị'!G193+'phường Quảng Trị'!G194</f>
        <v>3</v>
      </c>
      <c r="G126" s="4">
        <f>'phường Quảng Trị'!H193+'phường Quảng Trị'!H194</f>
        <v>634</v>
      </c>
      <c r="H126" s="4">
        <f>'phường Quảng Trị'!I193+'phường Quảng Trị'!I194</f>
        <v>61</v>
      </c>
      <c r="I126" s="4">
        <f>'phường Quảng Trị'!J193+'phường Quảng Trị'!J194</f>
        <v>3022</v>
      </c>
      <c r="J126" s="4">
        <f>'phường Quảng Trị'!K193+'phường Quảng Trị'!K194</f>
        <v>0</v>
      </c>
      <c r="K126" s="4">
        <f>'phường Quảng Trị'!L193+'phường Quảng Trị'!L194</f>
        <v>0</v>
      </c>
      <c r="L126" s="4" t="s">
        <v>267</v>
      </c>
      <c r="M126" s="36"/>
    </row>
    <row r="127" spans="1:13">
      <c r="A127" s="2">
        <v>42</v>
      </c>
      <c r="B127" s="4" t="s">
        <v>16</v>
      </c>
      <c r="C127" s="7" t="s">
        <v>244</v>
      </c>
      <c r="D127" s="4">
        <f t="shared" ref="D127:E134" si="14">F127+H127+J127</f>
        <v>1</v>
      </c>
      <c r="E127" s="4">
        <f t="shared" si="14"/>
        <v>74</v>
      </c>
      <c r="F127" s="4">
        <v>1</v>
      </c>
      <c r="G127" s="4">
        <v>74</v>
      </c>
      <c r="H127" s="4"/>
      <c r="I127" s="4"/>
      <c r="J127" s="4"/>
      <c r="K127" s="4"/>
      <c r="L127" s="7" t="s">
        <v>272</v>
      </c>
      <c r="M127" s="36"/>
    </row>
    <row r="128" spans="1:13">
      <c r="A128" s="78">
        <v>43</v>
      </c>
      <c r="B128" s="4" t="s">
        <v>16</v>
      </c>
      <c r="C128" s="7" t="s">
        <v>182</v>
      </c>
      <c r="D128" s="4">
        <f t="shared" si="14"/>
        <v>1</v>
      </c>
      <c r="E128" s="4">
        <f t="shared" si="14"/>
        <v>41</v>
      </c>
      <c r="F128" s="4"/>
      <c r="G128" s="4"/>
      <c r="H128" s="4">
        <v>1</v>
      </c>
      <c r="I128" s="4">
        <v>41</v>
      </c>
      <c r="J128" s="4"/>
      <c r="K128" s="4"/>
      <c r="L128" s="4"/>
      <c r="M128" s="36"/>
    </row>
    <row r="129" spans="1:13" s="12" customFormat="1">
      <c r="A129" s="78">
        <v>44</v>
      </c>
      <c r="B129" s="7" t="s">
        <v>16</v>
      </c>
      <c r="C129" s="7" t="s">
        <v>351</v>
      </c>
      <c r="D129" s="7">
        <f t="shared" si="14"/>
        <v>13</v>
      </c>
      <c r="E129" s="7">
        <f t="shared" si="14"/>
        <v>332</v>
      </c>
      <c r="F129" s="7">
        <v>2</v>
      </c>
      <c r="G129" s="7">
        <f>110+101</f>
        <v>211</v>
      </c>
      <c r="H129" s="7">
        <v>11</v>
      </c>
      <c r="I129" s="7">
        <f>23+21+22+24+20+11</f>
        <v>121</v>
      </c>
      <c r="J129" s="7"/>
      <c r="K129" s="7"/>
      <c r="L129" s="7"/>
      <c r="M129" s="80"/>
    </row>
    <row r="130" spans="1:13">
      <c r="A130" s="78">
        <v>45</v>
      </c>
      <c r="B130" s="4" t="s">
        <v>16</v>
      </c>
      <c r="C130" s="7" t="s">
        <v>186</v>
      </c>
      <c r="D130" s="4">
        <f t="shared" si="14"/>
        <v>3</v>
      </c>
      <c r="E130" s="4">
        <f t="shared" si="14"/>
        <v>227</v>
      </c>
      <c r="F130" s="4"/>
      <c r="G130" s="4"/>
      <c r="H130" s="4">
        <v>3</v>
      </c>
      <c r="I130" s="4">
        <f>89+69+69</f>
        <v>227</v>
      </c>
      <c r="J130" s="4"/>
      <c r="K130" s="4"/>
      <c r="L130" s="4"/>
      <c r="M130" s="36"/>
    </row>
    <row r="131" spans="1:13">
      <c r="A131" s="2">
        <v>46</v>
      </c>
      <c r="B131" s="4" t="s">
        <v>16</v>
      </c>
      <c r="C131" s="7" t="s">
        <v>352</v>
      </c>
      <c r="D131" s="4">
        <f t="shared" si="14"/>
        <v>6</v>
      </c>
      <c r="E131" s="4">
        <f t="shared" si="14"/>
        <v>166</v>
      </c>
      <c r="F131" s="4">
        <v>1</v>
      </c>
      <c r="G131" s="4">
        <v>131</v>
      </c>
      <c r="H131" s="4">
        <v>5</v>
      </c>
      <c r="I131" s="4">
        <v>35</v>
      </c>
      <c r="J131" s="4"/>
      <c r="K131" s="4"/>
      <c r="L131" s="4"/>
      <c r="M131" s="36"/>
    </row>
    <row r="132" spans="1:13">
      <c r="A132" s="78">
        <v>47</v>
      </c>
      <c r="B132" s="4" t="s">
        <v>16</v>
      </c>
      <c r="C132" s="4" t="s">
        <v>195</v>
      </c>
      <c r="D132" s="4">
        <f t="shared" si="14"/>
        <v>9</v>
      </c>
      <c r="E132" s="4">
        <f t="shared" si="14"/>
        <v>384</v>
      </c>
      <c r="F132" s="4">
        <f>4</f>
        <v>4</v>
      </c>
      <c r="G132" s="4">
        <f>96+104+78+92</f>
        <v>370</v>
      </c>
      <c r="H132" s="4">
        <v>1</v>
      </c>
      <c r="I132" s="4">
        <v>12</v>
      </c>
      <c r="J132" s="4">
        <v>4</v>
      </c>
      <c r="K132" s="4">
        <v>2</v>
      </c>
      <c r="L132" s="7" t="s">
        <v>272</v>
      </c>
      <c r="M132" s="36"/>
    </row>
    <row r="133" spans="1:13">
      <c r="A133" s="2">
        <v>48</v>
      </c>
      <c r="B133" s="4" t="s">
        <v>16</v>
      </c>
      <c r="C133" s="4" t="s">
        <v>196</v>
      </c>
      <c r="D133" s="4">
        <f t="shared" si="14"/>
        <v>1</v>
      </c>
      <c r="E133" s="4">
        <f t="shared" si="14"/>
        <v>151</v>
      </c>
      <c r="F133" s="4">
        <v>1</v>
      </c>
      <c r="G133" s="4">
        <v>151</v>
      </c>
      <c r="H133" s="4"/>
      <c r="I133" s="4"/>
      <c r="J133" s="4"/>
      <c r="K133" s="4"/>
      <c r="L133" s="4"/>
      <c r="M133" s="36"/>
    </row>
    <row r="134" spans="1:13">
      <c r="A134" s="78">
        <v>49</v>
      </c>
      <c r="B134" s="4" t="s">
        <v>16</v>
      </c>
      <c r="C134" s="4" t="s">
        <v>353</v>
      </c>
      <c r="D134" s="4">
        <f t="shared" si="14"/>
        <v>4</v>
      </c>
      <c r="E134" s="4">
        <f t="shared" si="14"/>
        <v>419</v>
      </c>
      <c r="F134" s="4">
        <f>1+1+1</f>
        <v>3</v>
      </c>
      <c r="G134" s="4">
        <f>97+162+121</f>
        <v>380</v>
      </c>
      <c r="H134" s="4">
        <v>1</v>
      </c>
      <c r="I134" s="4">
        <v>39</v>
      </c>
      <c r="J134" s="4"/>
      <c r="K134" s="4"/>
      <c r="L134" s="4"/>
      <c r="M134" s="36"/>
    </row>
    <row r="135" spans="1:13">
      <c r="A135" s="2">
        <v>50</v>
      </c>
      <c r="B135" s="7" t="s">
        <v>16</v>
      </c>
      <c r="C135" s="7" t="s">
        <v>208</v>
      </c>
      <c r="D135" s="7">
        <f>'phường Quảng Trị'!E203+'phường Quảng Trị'!E204+'phường Quảng Trị'!E205</f>
        <v>11</v>
      </c>
      <c r="E135" s="7">
        <f>'phường Quảng Trị'!F203+'phường Quảng Trị'!F204+'phường Quảng Trị'!F205</f>
        <v>803</v>
      </c>
      <c r="F135" s="7">
        <f>'phường Quảng Trị'!G203+'phường Quảng Trị'!G204+'phường Quảng Trị'!G205</f>
        <v>3</v>
      </c>
      <c r="G135" s="7">
        <f>'phường Quảng Trị'!H203+'phường Quảng Trị'!H204+'phường Quảng Trị'!H205</f>
        <v>433</v>
      </c>
      <c r="H135" s="7">
        <f>'phường Quảng Trị'!I203+'phường Quảng Trị'!I204+'phường Quảng Trị'!I205</f>
        <v>3</v>
      </c>
      <c r="I135" s="7">
        <f>'phường Quảng Trị'!J203+'phường Quảng Trị'!J204+'phường Quảng Trị'!J205</f>
        <v>345</v>
      </c>
      <c r="J135" s="7">
        <f>'phường Quảng Trị'!K203+'phường Quảng Trị'!K204+'phường Quảng Trị'!K205</f>
        <v>5</v>
      </c>
      <c r="K135" s="7">
        <f>'phường Quảng Trị'!L203+'phường Quảng Trị'!L204+'phường Quảng Trị'!L205</f>
        <v>25</v>
      </c>
      <c r="L135" s="4" t="s">
        <v>268</v>
      </c>
      <c r="M135" s="36"/>
    </row>
    <row r="136" spans="1:13" s="11" customFormat="1">
      <c r="A136" s="78">
        <v>51</v>
      </c>
      <c r="B136" s="7" t="s">
        <v>16</v>
      </c>
      <c r="C136" s="7" t="s">
        <v>290</v>
      </c>
      <c r="D136" s="7">
        <f t="shared" ref="D136:E143" si="15">F136+H136+J136</f>
        <v>1</v>
      </c>
      <c r="E136" s="7">
        <f t="shared" si="15"/>
        <v>82</v>
      </c>
      <c r="F136" s="7"/>
      <c r="G136" s="7"/>
      <c r="H136" s="7">
        <v>1</v>
      </c>
      <c r="I136" s="7">
        <v>82</v>
      </c>
      <c r="J136" s="7"/>
      <c r="K136" s="7"/>
      <c r="L136" s="7" t="s">
        <v>272</v>
      </c>
      <c r="M136" s="36"/>
    </row>
    <row r="137" spans="1:13">
      <c r="A137" s="2">
        <v>52</v>
      </c>
      <c r="B137" s="7" t="s">
        <v>16</v>
      </c>
      <c r="C137" s="7" t="s">
        <v>209</v>
      </c>
      <c r="D137" s="7">
        <f t="shared" si="15"/>
        <v>1</v>
      </c>
      <c r="E137" s="7">
        <f t="shared" si="15"/>
        <v>116</v>
      </c>
      <c r="F137" s="7"/>
      <c r="G137" s="7"/>
      <c r="H137" s="7">
        <v>1</v>
      </c>
      <c r="I137" s="7">
        <v>116</v>
      </c>
      <c r="J137" s="7"/>
      <c r="K137" s="7"/>
      <c r="L137" s="7"/>
      <c r="M137" s="36"/>
    </row>
    <row r="138" spans="1:13">
      <c r="A138" s="78">
        <v>53</v>
      </c>
      <c r="B138" s="7" t="s">
        <v>16</v>
      </c>
      <c r="C138" s="7" t="s">
        <v>219</v>
      </c>
      <c r="D138" s="7">
        <f t="shared" si="15"/>
        <v>1</v>
      </c>
      <c r="E138" s="7">
        <f t="shared" si="15"/>
        <v>80</v>
      </c>
      <c r="F138" s="7">
        <v>1</v>
      </c>
      <c r="G138" s="7">
        <v>80</v>
      </c>
      <c r="H138" s="7"/>
      <c r="I138" s="7"/>
      <c r="J138" s="7"/>
      <c r="K138" s="7"/>
      <c r="L138" s="7"/>
      <c r="M138" s="36"/>
    </row>
    <row r="139" spans="1:13">
      <c r="A139" s="2">
        <v>54</v>
      </c>
      <c r="B139" s="7" t="s">
        <v>16</v>
      </c>
      <c r="C139" s="7" t="s">
        <v>354</v>
      </c>
      <c r="D139" s="7">
        <f t="shared" si="15"/>
        <v>1</v>
      </c>
      <c r="E139" s="7">
        <f t="shared" si="15"/>
        <v>42</v>
      </c>
      <c r="F139" s="7"/>
      <c r="G139" s="7"/>
      <c r="H139" s="7">
        <v>1</v>
      </c>
      <c r="I139" s="7">
        <v>42</v>
      </c>
      <c r="J139" s="7"/>
      <c r="K139" s="7"/>
      <c r="L139" s="7"/>
      <c r="M139" s="36"/>
    </row>
    <row r="140" spans="1:13" s="11" customFormat="1">
      <c r="A140" s="78">
        <v>55</v>
      </c>
      <c r="B140" s="7" t="s">
        <v>16</v>
      </c>
      <c r="C140" s="7" t="s">
        <v>355</v>
      </c>
      <c r="D140" s="7">
        <f t="shared" si="15"/>
        <v>7</v>
      </c>
      <c r="E140" s="7">
        <f t="shared" si="15"/>
        <v>220</v>
      </c>
      <c r="F140" s="7"/>
      <c r="G140" s="7"/>
      <c r="H140" s="7">
        <v>7</v>
      </c>
      <c r="I140" s="7">
        <f>60+62+58+40</f>
        <v>220</v>
      </c>
      <c r="J140" s="7"/>
      <c r="K140" s="7"/>
      <c r="L140" s="7"/>
      <c r="M140" s="36"/>
    </row>
    <row r="141" spans="1:13">
      <c r="A141" s="2">
        <v>56</v>
      </c>
      <c r="B141" s="15" t="s">
        <v>16</v>
      </c>
      <c r="C141" s="17" t="s">
        <v>231</v>
      </c>
      <c r="D141" s="15">
        <f t="shared" si="15"/>
        <v>25</v>
      </c>
      <c r="E141" s="17">
        <f t="shared" si="15"/>
        <v>1925</v>
      </c>
      <c r="F141" s="15"/>
      <c r="G141" s="15"/>
      <c r="H141" s="15">
        <v>25</v>
      </c>
      <c r="I141" s="15">
        <f>93+95+91+96+90+93+93+91+95+93+65+67+63+68+62+66+64+65+65+65+67+63+65+75+75</f>
        <v>1925</v>
      </c>
      <c r="J141" s="15"/>
      <c r="K141" s="15"/>
      <c r="L141" s="15"/>
      <c r="M141" s="36"/>
    </row>
    <row r="142" spans="1:13">
      <c r="A142" s="78">
        <v>57</v>
      </c>
      <c r="B142" s="4" t="s">
        <v>16</v>
      </c>
      <c r="C142" s="4" t="s">
        <v>237</v>
      </c>
      <c r="D142" s="4">
        <f>'phường Quảng Trị'!E212+'phường Quảng Trị'!E213</f>
        <v>12</v>
      </c>
      <c r="E142" s="4">
        <f>'phường Quảng Trị'!F212+'phường Quảng Trị'!F213</f>
        <v>566</v>
      </c>
      <c r="F142" s="4">
        <f>'phường Quảng Trị'!G212+'phường Quảng Trị'!G213</f>
        <v>0</v>
      </c>
      <c r="G142" s="4">
        <f>'phường Quảng Trị'!H212+'phường Quảng Trị'!H213</f>
        <v>0</v>
      </c>
      <c r="H142" s="4">
        <f>'phường Quảng Trị'!I212+'phường Quảng Trị'!I213</f>
        <v>12</v>
      </c>
      <c r="I142" s="4">
        <f>'phường Quảng Trị'!J212+'phường Quảng Trị'!J213</f>
        <v>566</v>
      </c>
      <c r="J142" s="4">
        <f>'phường Quảng Trị'!K212+'phường Quảng Trị'!K213</f>
        <v>0</v>
      </c>
      <c r="K142" s="4">
        <f>'phường Quảng Trị'!L212+'phường Quảng Trị'!L213</f>
        <v>0</v>
      </c>
      <c r="L142" s="4" t="s">
        <v>271</v>
      </c>
      <c r="M142" s="36"/>
    </row>
    <row r="143" spans="1:13">
      <c r="A143" s="2">
        <v>58</v>
      </c>
      <c r="B143" s="4" t="s">
        <v>16</v>
      </c>
      <c r="C143" s="4" t="s">
        <v>238</v>
      </c>
      <c r="D143" s="4">
        <f t="shared" si="15"/>
        <v>1</v>
      </c>
      <c r="E143" s="7">
        <f t="shared" si="15"/>
        <v>86</v>
      </c>
      <c r="F143" s="4"/>
      <c r="G143" s="4"/>
      <c r="H143" s="4">
        <v>1</v>
      </c>
      <c r="I143" s="4">
        <v>86</v>
      </c>
      <c r="J143" s="4"/>
      <c r="K143" s="4"/>
      <c r="L143" s="4"/>
      <c r="M143" s="36"/>
    </row>
    <row r="144" spans="1:13" s="21" customFormat="1" ht="14.25">
      <c r="A144" s="83" t="s">
        <v>253</v>
      </c>
      <c r="B144" s="91" t="s">
        <v>254</v>
      </c>
      <c r="C144" s="22"/>
      <c r="D144" s="23">
        <f t="shared" ref="D144:K144" si="16">SUM(D145:D177)</f>
        <v>490</v>
      </c>
      <c r="E144" s="23">
        <f t="shared" si="16"/>
        <v>24641</v>
      </c>
      <c r="F144" s="23">
        <f t="shared" si="16"/>
        <v>53</v>
      </c>
      <c r="G144" s="23">
        <f t="shared" si="16"/>
        <v>6092</v>
      </c>
      <c r="H144" s="23">
        <f t="shared" si="16"/>
        <v>370</v>
      </c>
      <c r="I144" s="23">
        <f t="shared" si="16"/>
        <v>18300</v>
      </c>
      <c r="J144" s="23">
        <f t="shared" si="16"/>
        <v>67</v>
      </c>
      <c r="K144" s="23">
        <f t="shared" si="16"/>
        <v>249</v>
      </c>
      <c r="L144" s="22"/>
      <c r="M144" s="36"/>
    </row>
    <row r="145" spans="1:13">
      <c r="A145" s="2">
        <v>1</v>
      </c>
      <c r="B145" s="4" t="s">
        <v>45</v>
      </c>
      <c r="C145" s="4" t="s">
        <v>46</v>
      </c>
      <c r="D145" s="4">
        <f>'phường Quảng Trị'!E216+'phường Quảng Trị'!E217</f>
        <v>15</v>
      </c>
      <c r="E145" s="4">
        <f>'phường Quảng Trị'!F216+'phường Quảng Trị'!F217</f>
        <v>318</v>
      </c>
      <c r="F145" s="4">
        <f>'phường Quảng Trị'!G216+'phường Quảng Trị'!G217</f>
        <v>2</v>
      </c>
      <c r="G145" s="4">
        <f>'phường Quảng Trị'!H216+'phường Quảng Trị'!H217</f>
        <v>221</v>
      </c>
      <c r="H145" s="4">
        <f>'phường Quảng Trị'!I216+'phường Quảng Trị'!I217</f>
        <v>1</v>
      </c>
      <c r="I145" s="4">
        <f>'phường Quảng Trị'!J216+'phường Quảng Trị'!J217</f>
        <v>49</v>
      </c>
      <c r="J145" s="4">
        <f>'phường Quảng Trị'!K216+'phường Quảng Trị'!K217</f>
        <v>12</v>
      </c>
      <c r="K145" s="4">
        <f>'phường Quảng Trị'!L216+'phường Quảng Trị'!L217</f>
        <v>48</v>
      </c>
      <c r="L145" s="4" t="s">
        <v>267</v>
      </c>
      <c r="M145" s="36"/>
    </row>
    <row r="146" spans="1:13">
      <c r="A146" s="2">
        <v>2</v>
      </c>
      <c r="B146" s="4" t="s">
        <v>45</v>
      </c>
      <c r="C146" s="4" t="s">
        <v>59</v>
      </c>
      <c r="D146" s="4">
        <f t="shared" ref="D146:E151" si="17">F146+H146+J146</f>
        <v>1</v>
      </c>
      <c r="E146" s="4">
        <f t="shared" si="17"/>
        <v>243</v>
      </c>
      <c r="F146" s="4">
        <v>1</v>
      </c>
      <c r="G146" s="4">
        <v>243</v>
      </c>
      <c r="H146" s="4"/>
      <c r="I146" s="4"/>
      <c r="J146" s="4"/>
      <c r="K146" s="4"/>
      <c r="L146" s="4"/>
      <c r="M146" s="36"/>
    </row>
    <row r="147" spans="1:13">
      <c r="A147" s="2">
        <v>3</v>
      </c>
      <c r="B147" s="4" t="s">
        <v>45</v>
      </c>
      <c r="C147" s="4" t="s">
        <v>60</v>
      </c>
      <c r="D147" s="4">
        <f>'phường Quảng Trị'!E219+'phường Quảng Trị'!E220</f>
        <v>19</v>
      </c>
      <c r="E147" s="4">
        <f>'phường Quảng Trị'!F219+'phường Quảng Trị'!F220</f>
        <v>657</v>
      </c>
      <c r="F147" s="4">
        <f>'phường Quảng Trị'!G219+'phường Quảng Trị'!G220</f>
        <v>1</v>
      </c>
      <c r="G147" s="4">
        <f>'phường Quảng Trị'!H219+'phường Quảng Trị'!H220</f>
        <v>149</v>
      </c>
      <c r="H147" s="4">
        <f>'phường Quảng Trị'!I219+'phường Quảng Trị'!I220</f>
        <v>7</v>
      </c>
      <c r="I147" s="4">
        <f>'phường Quảng Trị'!J219+'phường Quảng Trị'!J220</f>
        <v>420</v>
      </c>
      <c r="J147" s="4">
        <f>'phường Quảng Trị'!K219+'phường Quảng Trị'!K220</f>
        <v>11</v>
      </c>
      <c r="K147" s="4">
        <f>'phường Quảng Trị'!L219+'phường Quảng Trị'!L220</f>
        <v>88</v>
      </c>
      <c r="L147" s="4" t="s">
        <v>267</v>
      </c>
      <c r="M147" s="36"/>
    </row>
    <row r="148" spans="1:13">
      <c r="A148" s="2">
        <v>4</v>
      </c>
      <c r="B148" s="4" t="s">
        <v>45</v>
      </c>
      <c r="C148" s="4" t="s">
        <v>62</v>
      </c>
      <c r="D148" s="4">
        <f>'phường Quảng Trị'!E221+'phường Quảng Trị'!E222+'phường Quảng Trị'!E223</f>
        <v>6</v>
      </c>
      <c r="E148" s="4">
        <f>'phường Quảng Trị'!F221+'phường Quảng Trị'!F222+'phường Quảng Trị'!F223</f>
        <v>420</v>
      </c>
      <c r="F148" s="4">
        <f>'phường Quảng Trị'!G221+'phường Quảng Trị'!G222+'phường Quảng Trị'!G223</f>
        <v>2</v>
      </c>
      <c r="G148" s="4">
        <f>'phường Quảng Trị'!H221+'phường Quảng Trị'!H222+'phường Quảng Trị'!H223</f>
        <v>273</v>
      </c>
      <c r="H148" s="4">
        <f>'phường Quảng Trị'!I221+'phường Quảng Trị'!I222+'phường Quảng Trị'!I223</f>
        <v>4</v>
      </c>
      <c r="I148" s="4">
        <f>'phường Quảng Trị'!J221+'phường Quảng Trị'!J222+'phường Quảng Trị'!J223</f>
        <v>147</v>
      </c>
      <c r="J148" s="4">
        <f>'phường Quảng Trị'!K221+'phường Quảng Trị'!K222+'phường Quảng Trị'!K223</f>
        <v>0</v>
      </c>
      <c r="K148" s="4">
        <f>'phường Quảng Trị'!L221+'phường Quảng Trị'!L222+'phường Quảng Trị'!L223</f>
        <v>0</v>
      </c>
      <c r="L148" s="4" t="s">
        <v>268</v>
      </c>
      <c r="M148" s="36"/>
    </row>
    <row r="149" spans="1:13" s="12" customFormat="1">
      <c r="A149" s="2">
        <v>5</v>
      </c>
      <c r="B149" s="7" t="s">
        <v>45</v>
      </c>
      <c r="C149" s="7" t="s">
        <v>72</v>
      </c>
      <c r="D149" s="7">
        <f>'phường Quảng Trị'!E224+'phường Quảng Trị'!E225+'phường Quảng Trị'!E226+'phường Quảng Trị'!E227</f>
        <v>36</v>
      </c>
      <c r="E149" s="7">
        <f>'phường Quảng Trị'!F224+'phường Quảng Trị'!F225+'phường Quảng Trị'!F226+'phường Quảng Trị'!F227</f>
        <v>931</v>
      </c>
      <c r="F149" s="7">
        <f>'phường Quảng Trị'!G224+'phường Quảng Trị'!G225+'phường Quảng Trị'!G226+'phường Quảng Trị'!G227</f>
        <v>2</v>
      </c>
      <c r="G149" s="7">
        <f>'phường Quảng Trị'!H224+'phường Quảng Trị'!H225+'phường Quảng Trị'!H226+'phường Quảng Trị'!H227</f>
        <v>221</v>
      </c>
      <c r="H149" s="7">
        <f>'phường Quảng Trị'!I224+'phường Quảng Trị'!I225+'phường Quảng Trị'!I226+'phường Quảng Trị'!I227</f>
        <v>34</v>
      </c>
      <c r="I149" s="7">
        <f>'phường Quảng Trị'!J224+'phường Quảng Trị'!J225+'phường Quảng Trị'!J226+'phường Quảng Trị'!J227</f>
        <v>710</v>
      </c>
      <c r="J149" s="7">
        <f>'phường Quảng Trị'!K224+'phường Quảng Trị'!K225+'phường Quảng Trị'!K226+'phường Quảng Trị'!K227</f>
        <v>0</v>
      </c>
      <c r="K149" s="7">
        <f>'phường Quảng Trị'!L224+'phường Quảng Trị'!L225+'phường Quảng Trị'!L226+'phường Quảng Trị'!L227</f>
        <v>0</v>
      </c>
      <c r="L149" s="4" t="s">
        <v>269</v>
      </c>
      <c r="M149" s="36"/>
    </row>
    <row r="150" spans="1:13" s="12" customFormat="1">
      <c r="A150" s="2">
        <v>6</v>
      </c>
      <c r="B150" s="7" t="s">
        <v>45</v>
      </c>
      <c r="C150" s="7" t="s">
        <v>331</v>
      </c>
      <c r="D150" s="7">
        <f>'phường Quảng Trị'!E228+'phường Quảng Trị'!E229</f>
        <v>22</v>
      </c>
      <c r="E150" s="7">
        <f>'phường Quảng Trị'!F228+'phường Quảng Trị'!F229</f>
        <v>280</v>
      </c>
      <c r="F150" s="7">
        <f>'phường Quảng Trị'!G228+'phường Quảng Trị'!G229</f>
        <v>2</v>
      </c>
      <c r="G150" s="7">
        <f>'phường Quảng Trị'!H228+'phường Quảng Trị'!H229</f>
        <v>200</v>
      </c>
      <c r="H150" s="7">
        <f>'phường Quảng Trị'!I228+'phường Quảng Trị'!I229</f>
        <v>10</v>
      </c>
      <c r="I150" s="7">
        <f>'phường Quảng Trị'!J228+'phường Quảng Trị'!J229</f>
        <v>60</v>
      </c>
      <c r="J150" s="7">
        <f>'phường Quảng Trị'!K228+'phường Quảng Trị'!K229</f>
        <v>10</v>
      </c>
      <c r="K150" s="7">
        <f>'phường Quảng Trị'!L228+'phường Quảng Trị'!L229</f>
        <v>20</v>
      </c>
      <c r="L150" s="4" t="s">
        <v>267</v>
      </c>
      <c r="M150" s="36"/>
    </row>
    <row r="151" spans="1:13" s="12" customFormat="1">
      <c r="A151" s="2">
        <v>7</v>
      </c>
      <c r="B151" s="7" t="s">
        <v>45</v>
      </c>
      <c r="C151" s="7" t="s">
        <v>332</v>
      </c>
      <c r="D151" s="7">
        <f t="shared" si="17"/>
        <v>6</v>
      </c>
      <c r="E151" s="7">
        <f t="shared" si="17"/>
        <v>90</v>
      </c>
      <c r="F151" s="7">
        <v>1</v>
      </c>
      <c r="G151" s="7">
        <v>80</v>
      </c>
      <c r="H151" s="7"/>
      <c r="I151" s="7"/>
      <c r="J151" s="7">
        <v>5</v>
      </c>
      <c r="K151" s="7">
        <v>10</v>
      </c>
      <c r="L151" s="7"/>
      <c r="M151" s="36"/>
    </row>
    <row r="152" spans="1:13" s="12" customFormat="1">
      <c r="A152" s="2">
        <v>8</v>
      </c>
      <c r="B152" s="7" t="s">
        <v>45</v>
      </c>
      <c r="C152" s="7" t="s">
        <v>84</v>
      </c>
      <c r="D152" s="7">
        <f>'phường Quảng Trị'!E231+'phường Quảng Trị'!E232+'phường Quảng Trị'!E233+'phường Quảng Trị'!E234+'phường Quảng Trị'!E235+'phường Quảng Trị'!E236</f>
        <v>58</v>
      </c>
      <c r="E152" s="7">
        <f>'phường Quảng Trị'!F231+'phường Quảng Trị'!F232+'phường Quảng Trị'!F233+'phường Quảng Trị'!F234+'phường Quảng Trị'!F235+'phường Quảng Trị'!F236</f>
        <v>5464</v>
      </c>
      <c r="F152" s="7">
        <f>'phường Quảng Trị'!G231+'phường Quảng Trị'!G232+'phường Quảng Trị'!G233+'phường Quảng Trị'!G234+'phường Quảng Trị'!G235+'phường Quảng Trị'!G236</f>
        <v>6</v>
      </c>
      <c r="G152" s="7">
        <f>'phường Quảng Trị'!H231+'phường Quảng Trị'!H232+'phường Quảng Trị'!H233+'phường Quảng Trị'!H234+'phường Quảng Trị'!H235+'phường Quảng Trị'!H236</f>
        <v>891</v>
      </c>
      <c r="H152" s="7">
        <f>'phường Quảng Trị'!I231+'phường Quảng Trị'!I232+'phường Quảng Trị'!I233+'phường Quảng Trị'!I234+'phường Quảng Trị'!I235+'phường Quảng Trị'!I236</f>
        <v>52</v>
      </c>
      <c r="I152" s="7">
        <f>'phường Quảng Trị'!J231+'phường Quảng Trị'!J232+'phường Quảng Trị'!J233+'phường Quảng Trị'!J234+'phường Quảng Trị'!J235+'phường Quảng Trị'!J236</f>
        <v>4573</v>
      </c>
      <c r="J152" s="7">
        <f>'phường Quảng Trị'!K231+'phường Quảng Trị'!K232+'phường Quảng Trị'!K233+'phường Quảng Trị'!K234+'phường Quảng Trị'!K235+'phường Quảng Trị'!K236</f>
        <v>0</v>
      </c>
      <c r="K152" s="7">
        <f>'phường Quảng Trị'!L231+'phường Quảng Trị'!L232+'phường Quảng Trị'!L233+'phường Quảng Trị'!L234+'phường Quảng Trị'!L235+'phường Quảng Trị'!L236</f>
        <v>0</v>
      </c>
      <c r="L152" s="4" t="s">
        <v>273</v>
      </c>
      <c r="M152" s="36"/>
    </row>
    <row r="153" spans="1:13" s="12" customFormat="1">
      <c r="A153" s="2">
        <v>9</v>
      </c>
      <c r="B153" s="7" t="s">
        <v>45</v>
      </c>
      <c r="C153" s="7" t="s">
        <v>93</v>
      </c>
      <c r="D153" s="7">
        <f t="shared" ref="D153:E157" si="18">F153+H153+J153</f>
        <v>1</v>
      </c>
      <c r="E153" s="7">
        <f t="shared" si="18"/>
        <v>74</v>
      </c>
      <c r="F153" s="7">
        <v>1</v>
      </c>
      <c r="G153" s="7">
        <v>74</v>
      </c>
      <c r="H153" s="7"/>
      <c r="I153" s="7"/>
      <c r="J153" s="7"/>
      <c r="K153" s="7"/>
      <c r="L153" s="7"/>
      <c r="M153" s="36"/>
    </row>
    <row r="154" spans="1:13" s="12" customFormat="1">
      <c r="A154" s="2">
        <v>10</v>
      </c>
      <c r="B154" s="7" t="s">
        <v>45</v>
      </c>
      <c r="C154" s="7" t="s">
        <v>104</v>
      </c>
      <c r="D154" s="7">
        <f t="shared" si="18"/>
        <v>2</v>
      </c>
      <c r="E154" s="7">
        <f t="shared" si="18"/>
        <v>128</v>
      </c>
      <c r="F154" s="7">
        <v>1</v>
      </c>
      <c r="G154" s="7">
        <v>81</v>
      </c>
      <c r="H154" s="7">
        <v>1</v>
      </c>
      <c r="I154" s="7">
        <v>47</v>
      </c>
      <c r="J154" s="7"/>
      <c r="K154" s="7"/>
      <c r="L154" s="7"/>
      <c r="M154" s="36"/>
    </row>
    <row r="155" spans="1:13" s="12" customFormat="1">
      <c r="A155" s="2">
        <v>11</v>
      </c>
      <c r="B155" s="7" t="s">
        <v>45</v>
      </c>
      <c r="C155" s="7" t="s">
        <v>105</v>
      </c>
      <c r="D155" s="7">
        <f>'phường Quảng Trị'!E239+'phường Quảng Trị'!E240+'phường Quảng Trị'!E241</f>
        <v>17</v>
      </c>
      <c r="E155" s="7">
        <f>'phường Quảng Trị'!F239+'phường Quảng Trị'!F240+'phường Quảng Trị'!F241</f>
        <v>856</v>
      </c>
      <c r="F155" s="7">
        <f>'phường Quảng Trị'!G239+'phường Quảng Trị'!G240+'phường Quảng Trị'!G241</f>
        <v>6</v>
      </c>
      <c r="G155" s="7">
        <f>'phường Quảng Trị'!H239+'phường Quảng Trị'!H240+'phường Quảng Trị'!H241</f>
        <v>757</v>
      </c>
      <c r="H155" s="7">
        <f>'phường Quảng Trị'!I239+'phường Quảng Trị'!I240+'phường Quảng Trị'!I241</f>
        <v>11</v>
      </c>
      <c r="I155" s="7">
        <f>'phường Quảng Trị'!J239+'phường Quảng Trị'!J240+'phường Quảng Trị'!J241</f>
        <v>99</v>
      </c>
      <c r="J155" s="7">
        <f>'phường Quảng Trị'!K239+'phường Quảng Trị'!K240+'phường Quảng Trị'!K241</f>
        <v>0</v>
      </c>
      <c r="K155" s="7">
        <f>'phường Quảng Trị'!L239+'phường Quảng Trị'!L240+'phường Quảng Trị'!L241</f>
        <v>0</v>
      </c>
      <c r="L155" s="4" t="s">
        <v>268</v>
      </c>
      <c r="M155" s="36"/>
    </row>
    <row r="156" spans="1:13" s="12" customFormat="1">
      <c r="A156" s="2">
        <v>12</v>
      </c>
      <c r="B156" s="7" t="s">
        <v>45</v>
      </c>
      <c r="C156" s="7" t="s">
        <v>106</v>
      </c>
      <c r="D156" s="7">
        <f>'phường Quảng Trị'!E242+'phường Quảng Trị'!E243</f>
        <v>17</v>
      </c>
      <c r="E156" s="7">
        <f>'phường Quảng Trị'!F242+'phường Quảng Trị'!F243</f>
        <v>918</v>
      </c>
      <c r="F156" s="7">
        <f>'phường Quảng Trị'!G242+'phường Quảng Trị'!G243</f>
        <v>4</v>
      </c>
      <c r="G156" s="7">
        <f>'phường Quảng Trị'!H242+'phường Quảng Trị'!H243</f>
        <v>541</v>
      </c>
      <c r="H156" s="7">
        <f>'phường Quảng Trị'!I242+'phường Quảng Trị'!I243</f>
        <v>13</v>
      </c>
      <c r="I156" s="7">
        <f>'phường Quảng Trị'!J242+'phường Quảng Trị'!J243</f>
        <v>377</v>
      </c>
      <c r="J156" s="7">
        <f>'phường Quảng Trị'!K242+'phường Quảng Trị'!K243</f>
        <v>0</v>
      </c>
      <c r="K156" s="7">
        <f>'phường Quảng Trị'!L242+'phường Quảng Trị'!L243</f>
        <v>0</v>
      </c>
      <c r="L156" s="4" t="s">
        <v>267</v>
      </c>
      <c r="M156" s="36"/>
    </row>
    <row r="157" spans="1:13">
      <c r="A157" s="2">
        <v>13</v>
      </c>
      <c r="B157" s="4" t="s">
        <v>45</v>
      </c>
      <c r="C157" s="4" t="s">
        <v>107</v>
      </c>
      <c r="D157" s="4">
        <f t="shared" si="18"/>
        <v>2</v>
      </c>
      <c r="E157" s="4">
        <f t="shared" si="18"/>
        <v>80</v>
      </c>
      <c r="F157" s="4">
        <v>2</v>
      </c>
      <c r="G157" s="4">
        <f>50+30</f>
        <v>80</v>
      </c>
      <c r="H157" s="4"/>
      <c r="I157" s="4"/>
      <c r="J157" s="4"/>
      <c r="K157" s="4"/>
      <c r="L157" s="4"/>
      <c r="M157" s="36"/>
    </row>
    <row r="158" spans="1:13">
      <c r="A158" s="2">
        <v>14</v>
      </c>
      <c r="B158" s="4" t="s">
        <v>45</v>
      </c>
      <c r="C158" s="4" t="s">
        <v>112</v>
      </c>
      <c r="D158" s="4">
        <f>'phường Quảng Trị'!E245+'phường Quảng Trị'!E246</f>
        <v>16</v>
      </c>
      <c r="E158" s="4">
        <f>'phường Quảng Trị'!F245+'phường Quảng Trị'!F246</f>
        <v>654</v>
      </c>
      <c r="F158" s="4">
        <f>'phường Quảng Trị'!G245+'phường Quảng Trị'!G246</f>
        <v>2</v>
      </c>
      <c r="G158" s="4">
        <f>'phường Quảng Trị'!H245+'phường Quảng Trị'!H246</f>
        <v>229</v>
      </c>
      <c r="H158" s="4">
        <f>'phường Quảng Trị'!I245+'phường Quảng Trị'!I246</f>
        <v>14</v>
      </c>
      <c r="I158" s="4">
        <f>'phường Quảng Trị'!J245+'phường Quảng Trị'!J246</f>
        <v>425</v>
      </c>
      <c r="J158" s="4">
        <f>'phường Quảng Trị'!K245+'phường Quảng Trị'!K246</f>
        <v>0</v>
      </c>
      <c r="K158" s="4">
        <f>'phường Quảng Trị'!L245+'phường Quảng Trị'!L246</f>
        <v>0</v>
      </c>
      <c r="L158" s="4" t="s">
        <v>267</v>
      </c>
      <c r="M158" s="36"/>
    </row>
    <row r="159" spans="1:13">
      <c r="A159" s="2">
        <v>15</v>
      </c>
      <c r="B159" s="4" t="s">
        <v>45</v>
      </c>
      <c r="C159" s="4" t="s">
        <v>113</v>
      </c>
      <c r="D159" s="4">
        <f>'phường Quảng Trị'!E247+'phường Quảng Trị'!E248</f>
        <v>10</v>
      </c>
      <c r="E159" s="4">
        <f>'phường Quảng Trị'!F247+'phường Quảng Trị'!F248</f>
        <v>412</v>
      </c>
      <c r="F159" s="4">
        <f>'phường Quảng Trị'!G247+'phường Quảng Trị'!G248</f>
        <v>2</v>
      </c>
      <c r="G159" s="4">
        <f>'phường Quảng Trị'!H247+'phường Quảng Trị'!H248</f>
        <v>262</v>
      </c>
      <c r="H159" s="4">
        <f>'phường Quảng Trị'!I247+'phường Quảng Trị'!I248</f>
        <v>2</v>
      </c>
      <c r="I159" s="4">
        <f>'phường Quảng Trị'!J247+'phường Quảng Trị'!J248</f>
        <v>120</v>
      </c>
      <c r="J159" s="4">
        <f>'phường Quảng Trị'!K247+'phường Quảng Trị'!K248</f>
        <v>6</v>
      </c>
      <c r="K159" s="4">
        <f>'phường Quảng Trị'!L247+'phường Quảng Trị'!L248</f>
        <v>30</v>
      </c>
      <c r="L159" s="4" t="s">
        <v>267</v>
      </c>
      <c r="M159" s="36"/>
    </row>
    <row r="160" spans="1:13">
      <c r="A160" s="2">
        <v>16</v>
      </c>
      <c r="B160" s="4" t="s">
        <v>45</v>
      </c>
      <c r="C160" s="4" t="s">
        <v>114</v>
      </c>
      <c r="D160" s="4">
        <f>'phường Quảng Trị'!E249+'phường Quảng Trị'!E250</f>
        <v>8</v>
      </c>
      <c r="E160" s="4">
        <f>'phường Quảng Trị'!F249+'phường Quảng Trị'!F250</f>
        <v>226</v>
      </c>
      <c r="F160" s="4">
        <f>'phường Quảng Trị'!G249+'phường Quảng Trị'!G250</f>
        <v>1</v>
      </c>
      <c r="G160" s="4">
        <f>'phường Quảng Trị'!H249+'phường Quảng Trị'!H250</f>
        <v>133</v>
      </c>
      <c r="H160" s="4">
        <f>'phường Quảng Trị'!I249+'phường Quảng Trị'!I250</f>
        <v>7</v>
      </c>
      <c r="I160" s="4">
        <f>'phường Quảng Trị'!J249+'phường Quảng Trị'!J250</f>
        <v>93</v>
      </c>
      <c r="J160" s="4">
        <f>'phường Quảng Trị'!K249+'phường Quảng Trị'!K250</f>
        <v>0</v>
      </c>
      <c r="K160" s="4">
        <f>'phường Quảng Trị'!L249+'phường Quảng Trị'!L250</f>
        <v>0</v>
      </c>
      <c r="L160" s="4" t="s">
        <v>267</v>
      </c>
      <c r="M160" s="36"/>
    </row>
    <row r="161" spans="1:13">
      <c r="A161" s="2">
        <v>17</v>
      </c>
      <c r="B161" s="4" t="s">
        <v>45</v>
      </c>
      <c r="C161" s="4" t="s">
        <v>125</v>
      </c>
      <c r="D161" s="4">
        <f>'phường Quảng Trị'!E251+'phường Quảng Trị'!E252+'phường Quảng Trị'!E253</f>
        <v>10</v>
      </c>
      <c r="E161" s="4">
        <f>'phường Quảng Trị'!F251+'phường Quảng Trị'!F252+'phường Quảng Trị'!F253</f>
        <v>392</v>
      </c>
      <c r="F161" s="4">
        <f>'phường Quảng Trị'!G251+'phường Quảng Trị'!G252+'phường Quảng Trị'!G253</f>
        <v>3</v>
      </c>
      <c r="G161" s="4">
        <f>'phường Quảng Trị'!H251+'phường Quảng Trị'!H252+'phường Quảng Trị'!H253</f>
        <v>350</v>
      </c>
      <c r="H161" s="4">
        <f>'phường Quảng Trị'!I251+'phường Quảng Trị'!I252+'phường Quảng Trị'!I253</f>
        <v>0</v>
      </c>
      <c r="I161" s="4">
        <f>'phường Quảng Trị'!J251+'phường Quảng Trị'!J252+'phường Quảng Trị'!J253</f>
        <v>0</v>
      </c>
      <c r="J161" s="4">
        <f>'phường Quảng Trị'!K251+'phường Quảng Trị'!K252+'phường Quảng Trị'!K253</f>
        <v>7</v>
      </c>
      <c r="K161" s="4">
        <f>'phường Quảng Trị'!L251+'phường Quảng Trị'!L252+'phường Quảng Trị'!L253</f>
        <v>42</v>
      </c>
      <c r="L161" s="4" t="s">
        <v>268</v>
      </c>
      <c r="M161" s="36"/>
    </row>
    <row r="162" spans="1:13">
      <c r="A162" s="2">
        <v>18</v>
      </c>
      <c r="B162" s="4" t="s">
        <v>45</v>
      </c>
      <c r="C162" s="4" t="s">
        <v>126</v>
      </c>
      <c r="D162" s="4">
        <f t="shared" ref="D162:E163" si="19">F162+H162+J162</f>
        <v>1</v>
      </c>
      <c r="E162" s="4">
        <f t="shared" si="19"/>
        <v>92</v>
      </c>
      <c r="F162" s="4">
        <v>1</v>
      </c>
      <c r="G162" s="4">
        <v>92</v>
      </c>
      <c r="H162" s="4"/>
      <c r="I162" s="4"/>
      <c r="J162" s="4"/>
      <c r="K162" s="4"/>
      <c r="L162" s="4"/>
      <c r="M162" s="36"/>
    </row>
    <row r="163" spans="1:13">
      <c r="A163" s="2">
        <v>19</v>
      </c>
      <c r="B163" s="4" t="s">
        <v>45</v>
      </c>
      <c r="C163" s="4" t="s">
        <v>127</v>
      </c>
      <c r="D163" s="4">
        <f t="shared" si="19"/>
        <v>1</v>
      </c>
      <c r="E163" s="4">
        <f t="shared" si="19"/>
        <v>74</v>
      </c>
      <c r="F163" s="4">
        <v>1</v>
      </c>
      <c r="G163" s="4">
        <v>74</v>
      </c>
      <c r="H163" s="4"/>
      <c r="I163" s="4"/>
      <c r="J163" s="4"/>
      <c r="K163" s="4"/>
      <c r="L163" s="4"/>
      <c r="M163" s="36"/>
    </row>
    <row r="164" spans="1:13">
      <c r="A164" s="2">
        <v>20</v>
      </c>
      <c r="B164" s="4" t="s">
        <v>45</v>
      </c>
      <c r="C164" s="7" t="s">
        <v>128</v>
      </c>
      <c r="D164" s="4">
        <f>'phường Quảng Trị'!E256+'phường Quảng Trị'!E257</f>
        <v>11</v>
      </c>
      <c r="E164" s="4">
        <f>'phường Quảng Trị'!F256+'phường Quảng Trị'!F257</f>
        <v>632</v>
      </c>
      <c r="F164" s="4">
        <f>'phường Quảng Trị'!G256+'phường Quảng Trị'!G257</f>
        <v>1</v>
      </c>
      <c r="G164" s="4">
        <f>'phường Quảng Trị'!H256+'phường Quảng Trị'!H257</f>
        <v>116</v>
      </c>
      <c r="H164" s="4">
        <f>'phường Quảng Trị'!I256+'phường Quảng Trị'!I257</f>
        <v>10</v>
      </c>
      <c r="I164" s="4">
        <f>'phường Quảng Trị'!J256+'phường Quảng Trị'!J257</f>
        <v>516</v>
      </c>
      <c r="J164" s="4">
        <f>'phường Quảng Trị'!K256+'phường Quảng Trị'!K257</f>
        <v>0</v>
      </c>
      <c r="K164" s="4">
        <f>'phường Quảng Trị'!L256+'phường Quảng Trị'!L257</f>
        <v>0</v>
      </c>
      <c r="L164" s="4" t="s">
        <v>267</v>
      </c>
      <c r="M164" s="36"/>
    </row>
    <row r="165" spans="1:13" s="12" customFormat="1">
      <c r="A165" s="2">
        <v>21</v>
      </c>
      <c r="B165" s="4" t="s">
        <v>45</v>
      </c>
      <c r="C165" s="4" t="s">
        <v>136</v>
      </c>
      <c r="D165" s="4">
        <f t="shared" ref="D165:E165" si="20">F165+H165+J165</f>
        <v>10</v>
      </c>
      <c r="E165" s="4">
        <f t="shared" si="20"/>
        <v>715</v>
      </c>
      <c r="F165" s="4">
        <v>1</v>
      </c>
      <c r="G165" s="4">
        <v>162</v>
      </c>
      <c r="H165" s="4">
        <v>9</v>
      </c>
      <c r="I165" s="4">
        <f>61+62+60+63+59+62+61+63+62</f>
        <v>553</v>
      </c>
      <c r="J165" s="4"/>
      <c r="K165" s="4"/>
      <c r="L165" s="4"/>
      <c r="M165" s="36"/>
    </row>
    <row r="166" spans="1:13" s="12" customFormat="1">
      <c r="A166" s="2">
        <v>22</v>
      </c>
      <c r="B166" s="4" t="s">
        <v>45</v>
      </c>
      <c r="C166" s="4" t="s">
        <v>147</v>
      </c>
      <c r="D166" s="4">
        <f>'phường Quảng Trị'!E259+'phường Quảng Trị'!E260</f>
        <v>2</v>
      </c>
      <c r="E166" s="4">
        <f>'phường Quảng Trị'!F259+'phường Quảng Trị'!F260</f>
        <v>132</v>
      </c>
      <c r="F166" s="4">
        <f>'phường Quảng Trị'!G259+'phường Quảng Trị'!G260</f>
        <v>0</v>
      </c>
      <c r="G166" s="4">
        <f>'phường Quảng Trị'!H259+'phường Quảng Trị'!H260</f>
        <v>0</v>
      </c>
      <c r="H166" s="4">
        <f>'phường Quảng Trị'!I259+'phường Quảng Trị'!I260</f>
        <v>2</v>
      </c>
      <c r="I166" s="4">
        <f>'phường Quảng Trị'!J259+'phường Quảng Trị'!J260</f>
        <v>132</v>
      </c>
      <c r="J166" s="4">
        <f>'phường Quảng Trị'!K259+'phường Quảng Trị'!K260</f>
        <v>0</v>
      </c>
      <c r="K166" s="4">
        <f>'phường Quảng Trị'!L259+'phường Quảng Trị'!L260</f>
        <v>0</v>
      </c>
      <c r="L166" s="4" t="s">
        <v>267</v>
      </c>
      <c r="M166" s="36"/>
    </row>
    <row r="167" spans="1:13" s="12" customFormat="1">
      <c r="A167" s="2">
        <v>23</v>
      </c>
      <c r="B167" s="4" t="s">
        <v>45</v>
      </c>
      <c r="C167" s="4" t="s">
        <v>152</v>
      </c>
      <c r="D167" s="4">
        <f>'phường Quảng Trị'!E261+'phường Quảng Trị'!E262+'phường Quảng Trị'!E263</f>
        <v>16</v>
      </c>
      <c r="E167" s="4">
        <f>'phường Quảng Trị'!F261+'phường Quảng Trị'!F262+'phường Quảng Trị'!F263</f>
        <v>320</v>
      </c>
      <c r="F167" s="4">
        <f>'phường Quảng Trị'!G261+'phường Quảng Trị'!G262+'phường Quảng Trị'!G263</f>
        <v>5</v>
      </c>
      <c r="G167" s="4">
        <f>'phường Quảng Trị'!H261+'phường Quảng Trị'!H262+'phường Quảng Trị'!H263</f>
        <v>314</v>
      </c>
      <c r="H167" s="4">
        <f>'phường Quảng Trị'!I261+'phường Quảng Trị'!I262+'phường Quảng Trị'!I263</f>
        <v>0</v>
      </c>
      <c r="I167" s="4">
        <f>'phường Quảng Trị'!J261+'phường Quảng Trị'!J262+'phường Quảng Trị'!J263</f>
        <v>0</v>
      </c>
      <c r="J167" s="4">
        <f>'phường Quảng Trị'!K261+'phường Quảng Trị'!K262+'phường Quảng Trị'!K263</f>
        <v>11</v>
      </c>
      <c r="K167" s="4">
        <f>'phường Quảng Trị'!L261+'phường Quảng Trị'!L262+'phường Quảng Trị'!L263</f>
        <v>6</v>
      </c>
      <c r="L167" s="4" t="s">
        <v>268</v>
      </c>
      <c r="M167" s="36"/>
    </row>
    <row r="168" spans="1:13" s="12" customFormat="1">
      <c r="A168" s="2">
        <v>24</v>
      </c>
      <c r="B168" s="4" t="s">
        <v>45</v>
      </c>
      <c r="C168" s="4" t="s">
        <v>153</v>
      </c>
      <c r="D168" s="4">
        <f>'phường Quảng Trị'!E264+'phường Quảng Trị'!E265</f>
        <v>8</v>
      </c>
      <c r="E168" s="4">
        <f>'phường Quảng Trị'!F264+'phường Quảng Trị'!F265</f>
        <v>303</v>
      </c>
      <c r="F168" s="4">
        <f>'phường Quảng Trị'!G264+'phường Quảng Trị'!G265</f>
        <v>3</v>
      </c>
      <c r="G168" s="4">
        <f>'phường Quảng Trị'!H264+'phường Quảng Trị'!H265</f>
        <v>298</v>
      </c>
      <c r="H168" s="4">
        <f>'phường Quảng Trị'!I264+'phường Quảng Trị'!I265</f>
        <v>0</v>
      </c>
      <c r="I168" s="4">
        <f>'phường Quảng Trị'!J264+'phường Quảng Trị'!J265</f>
        <v>0</v>
      </c>
      <c r="J168" s="4">
        <f>'phường Quảng Trị'!K264+'phường Quảng Trị'!K265</f>
        <v>5</v>
      </c>
      <c r="K168" s="4">
        <f>'phường Quảng Trị'!L264+'phường Quảng Trị'!L265</f>
        <v>5</v>
      </c>
      <c r="L168" s="4" t="s">
        <v>267</v>
      </c>
      <c r="M168" s="36"/>
    </row>
    <row r="169" spans="1:13" s="12" customFormat="1">
      <c r="A169" s="2">
        <v>25</v>
      </c>
      <c r="B169" s="4" t="s">
        <v>155</v>
      </c>
      <c r="C169" s="4" t="s">
        <v>156</v>
      </c>
      <c r="D169" s="4">
        <f>'phường Quảng Trị'!E266+'phường Quảng Trị'!E267+'phường Quảng Trị'!E268+'phường Quảng Trị'!E269</f>
        <v>15</v>
      </c>
      <c r="E169" s="4">
        <f>'phường Quảng Trị'!F266+'phường Quảng Trị'!F267+'phường Quảng Trị'!F268+'phường Quảng Trị'!F269</f>
        <v>423</v>
      </c>
      <c r="F169" s="4">
        <f>'phường Quảng Trị'!G266+'phường Quảng Trị'!G267+'phường Quảng Trị'!G268+'phường Quảng Trị'!G269</f>
        <v>1</v>
      </c>
      <c r="G169" s="4">
        <f>'phường Quảng Trị'!H266+'phường Quảng Trị'!H267+'phường Quảng Trị'!H268+'phường Quảng Trị'!H269</f>
        <v>180</v>
      </c>
      <c r="H169" s="4">
        <f>'phường Quảng Trị'!I266+'phường Quảng Trị'!I267+'phường Quảng Trị'!I268+'phường Quảng Trị'!I269</f>
        <v>14</v>
      </c>
      <c r="I169" s="4">
        <f>'phường Quảng Trị'!J266+'phường Quảng Trị'!J267+'phường Quảng Trị'!J268+'phường Quảng Trị'!J269</f>
        <v>243</v>
      </c>
      <c r="J169" s="4">
        <f>'phường Quảng Trị'!K266+'phường Quảng Trị'!K267+'phường Quảng Trị'!K268+'phường Quảng Trị'!K269</f>
        <v>0</v>
      </c>
      <c r="K169" s="4">
        <f>'phường Quảng Trị'!L266+'phường Quảng Trị'!L267+'phường Quảng Trị'!L268+'phường Quảng Trị'!L269</f>
        <v>0</v>
      </c>
      <c r="L169" s="4" t="s">
        <v>269</v>
      </c>
      <c r="M169" s="36"/>
    </row>
    <row r="170" spans="1:13" s="12" customFormat="1">
      <c r="A170" s="2">
        <v>26</v>
      </c>
      <c r="B170" s="7" t="s">
        <v>45</v>
      </c>
      <c r="C170" s="7" t="s">
        <v>167</v>
      </c>
      <c r="D170" s="7">
        <f t="shared" ref="D170:E173" si="21">F170+H170+J170</f>
        <v>1</v>
      </c>
      <c r="E170" s="7">
        <f t="shared" si="21"/>
        <v>30</v>
      </c>
      <c r="F170" s="7"/>
      <c r="G170" s="7"/>
      <c r="H170" s="7">
        <v>1</v>
      </c>
      <c r="I170" s="7">
        <v>30</v>
      </c>
      <c r="J170" s="7"/>
      <c r="K170" s="7"/>
      <c r="L170" s="7"/>
      <c r="M170" s="36"/>
    </row>
    <row r="171" spans="1:13" s="12" customFormat="1">
      <c r="A171" s="2">
        <v>27</v>
      </c>
      <c r="B171" s="7" t="s">
        <v>45</v>
      </c>
      <c r="C171" s="7" t="s">
        <v>178</v>
      </c>
      <c r="D171" s="7">
        <f>'phường Quảng Trị'!E271+'phường Quảng Trị'!E272+'phường Quảng Trị'!E273+'phường Quảng Trị'!E274+'phường Quảng Trị'!E275</f>
        <v>166</v>
      </c>
      <c r="E171" s="7">
        <f>'phường Quảng Trị'!F271+'phường Quảng Trị'!F272+'phường Quảng Trị'!F273+'phường Quảng Trị'!F274+'phường Quảng Trị'!F275</f>
        <v>9181</v>
      </c>
      <c r="F171" s="7">
        <f>'phường Quảng Trị'!G271+'phường Quảng Trị'!G272+'phường Quảng Trị'!G273+'phường Quảng Trị'!G274+'phường Quảng Trị'!G275</f>
        <v>0</v>
      </c>
      <c r="G171" s="7">
        <f>'phường Quảng Trị'!H271+'phường Quảng Trị'!H272+'phường Quảng Trị'!H273+'phường Quảng Trị'!H274+'phường Quảng Trị'!H275</f>
        <v>0</v>
      </c>
      <c r="H171" s="7">
        <f>'phường Quảng Trị'!I271+'phường Quảng Trị'!I272+'phường Quảng Trị'!I273+'phường Quảng Trị'!I274+'phường Quảng Trị'!I275</f>
        <v>166</v>
      </c>
      <c r="I171" s="7">
        <f>'phường Quảng Trị'!J271+'phường Quảng Trị'!J272+'phường Quảng Trị'!J273+'phường Quảng Trị'!J274+'phường Quảng Trị'!J275</f>
        <v>9181</v>
      </c>
      <c r="J171" s="7">
        <f>'phường Quảng Trị'!K271+'phường Quảng Trị'!K272+'phường Quảng Trị'!K273+'phường Quảng Trị'!K274+'phường Quảng Trị'!K275</f>
        <v>0</v>
      </c>
      <c r="K171" s="7">
        <f>'phường Quảng Trị'!L271+'phường Quảng Trị'!L272+'phường Quảng Trị'!L273+'phường Quảng Trị'!L274+'phường Quảng Trị'!L275</f>
        <v>0</v>
      </c>
      <c r="L171" s="7" t="s">
        <v>270</v>
      </c>
      <c r="M171" s="36"/>
    </row>
    <row r="172" spans="1:13">
      <c r="A172" s="2">
        <v>28</v>
      </c>
      <c r="B172" s="4" t="s">
        <v>45</v>
      </c>
      <c r="C172" s="4" t="s">
        <v>180</v>
      </c>
      <c r="D172" s="4">
        <f t="shared" si="21"/>
        <v>1</v>
      </c>
      <c r="E172" s="4">
        <f t="shared" si="21"/>
        <v>29</v>
      </c>
      <c r="F172" s="4"/>
      <c r="G172" s="4"/>
      <c r="H172" s="4">
        <v>1</v>
      </c>
      <c r="I172" s="4">
        <v>29</v>
      </c>
      <c r="J172" s="4"/>
      <c r="K172" s="4"/>
      <c r="L172" s="4"/>
      <c r="M172" s="36"/>
    </row>
    <row r="173" spans="1:13">
      <c r="A173" s="2">
        <v>29</v>
      </c>
      <c r="B173" s="4" t="s">
        <v>45</v>
      </c>
      <c r="C173" s="4" t="s">
        <v>184</v>
      </c>
      <c r="D173" s="4">
        <f t="shared" si="21"/>
        <v>3</v>
      </c>
      <c r="E173" s="4">
        <f t="shared" si="21"/>
        <v>125</v>
      </c>
      <c r="F173" s="4"/>
      <c r="G173" s="4"/>
      <c r="H173" s="4">
        <v>3</v>
      </c>
      <c r="I173" s="4">
        <f>40+42+43</f>
        <v>125</v>
      </c>
      <c r="J173" s="4"/>
      <c r="K173" s="4"/>
      <c r="L173" s="4"/>
      <c r="M173" s="36"/>
    </row>
    <row r="174" spans="1:13">
      <c r="A174" s="2">
        <v>30</v>
      </c>
      <c r="B174" s="4" t="s">
        <v>45</v>
      </c>
      <c r="C174" s="4" t="s">
        <v>185</v>
      </c>
      <c r="D174" s="4">
        <f t="shared" ref="D174:E174" si="22">F174+H174+J174</f>
        <v>2</v>
      </c>
      <c r="E174" s="4">
        <f t="shared" si="22"/>
        <v>51</v>
      </c>
      <c r="F174" s="4"/>
      <c r="G174" s="4"/>
      <c r="H174" s="4">
        <v>2</v>
      </c>
      <c r="I174" s="4">
        <f>25+26</f>
        <v>51</v>
      </c>
      <c r="J174" s="4"/>
      <c r="K174" s="4"/>
      <c r="L174" s="4"/>
      <c r="M174" s="36"/>
    </row>
    <row r="175" spans="1:13">
      <c r="A175" s="2">
        <v>31</v>
      </c>
      <c r="B175" s="4" t="s">
        <v>45</v>
      </c>
      <c r="C175" s="4" t="s">
        <v>190</v>
      </c>
      <c r="D175" s="4">
        <f>'phường Quảng Trị'!E279+'phường Quảng Trị'!E280</f>
        <v>2</v>
      </c>
      <c r="E175" s="4">
        <f>'phường Quảng Trị'!F279+'phường Quảng Trị'!F280</f>
        <v>154</v>
      </c>
      <c r="F175" s="4">
        <f>'phường Quảng Trị'!G279+'phường Quảng Trị'!G280</f>
        <v>0</v>
      </c>
      <c r="G175" s="4">
        <f>'phường Quảng Trị'!H279+'phường Quảng Trị'!H280</f>
        <v>0</v>
      </c>
      <c r="H175" s="4">
        <f>'phường Quảng Trị'!I279+'phường Quảng Trị'!I280</f>
        <v>2</v>
      </c>
      <c r="I175" s="4">
        <f>'phường Quảng Trị'!J279+'phường Quảng Trị'!J280</f>
        <v>154</v>
      </c>
      <c r="J175" s="4">
        <f>'phường Quảng Trị'!K279+'phường Quảng Trị'!K280</f>
        <v>0</v>
      </c>
      <c r="K175" s="4">
        <f>'phường Quảng Trị'!L279+'phường Quảng Trị'!L280</f>
        <v>0</v>
      </c>
      <c r="L175" s="4" t="s">
        <v>267</v>
      </c>
      <c r="M175" s="36"/>
    </row>
    <row r="176" spans="1:13">
      <c r="A176" s="2">
        <v>32</v>
      </c>
      <c r="B176" s="7" t="s">
        <v>45</v>
      </c>
      <c r="C176" s="7" t="s">
        <v>204</v>
      </c>
      <c r="D176" s="7">
        <f t="shared" ref="D176:E177" si="23">F176+H176+J176</f>
        <v>4</v>
      </c>
      <c r="E176" s="7">
        <f t="shared" si="23"/>
        <v>166</v>
      </c>
      <c r="F176" s="7"/>
      <c r="G176" s="7"/>
      <c r="H176" s="7">
        <v>4</v>
      </c>
      <c r="I176" s="7">
        <f>78+88</f>
        <v>166</v>
      </c>
      <c r="J176" s="7"/>
      <c r="K176" s="7"/>
      <c r="L176" s="7"/>
      <c r="M176" s="36"/>
    </row>
    <row r="177" spans="1:13">
      <c r="A177" s="2">
        <v>33</v>
      </c>
      <c r="B177" s="7" t="s">
        <v>45</v>
      </c>
      <c r="C177" s="7" t="s">
        <v>224</v>
      </c>
      <c r="D177" s="7">
        <f t="shared" si="23"/>
        <v>1</v>
      </c>
      <c r="E177" s="7">
        <f t="shared" si="23"/>
        <v>71</v>
      </c>
      <c r="F177" s="7">
        <v>1</v>
      </c>
      <c r="G177" s="7">
        <v>71</v>
      </c>
      <c r="H177" s="7"/>
      <c r="I177" s="7"/>
      <c r="J177" s="7"/>
      <c r="K177" s="7"/>
      <c r="L177" s="7"/>
      <c r="M177" s="36"/>
    </row>
    <row r="178" spans="1:13" s="21" customFormat="1" ht="14.25">
      <c r="A178" s="83" t="s">
        <v>255</v>
      </c>
      <c r="B178" s="91" t="s">
        <v>256</v>
      </c>
      <c r="C178" s="22"/>
      <c r="D178" s="23">
        <f t="shared" ref="D178:K178" si="24">SUM(D179:D207)</f>
        <v>208</v>
      </c>
      <c r="E178" s="23">
        <f t="shared" si="24"/>
        <v>9863</v>
      </c>
      <c r="F178" s="23">
        <f t="shared" si="24"/>
        <v>51</v>
      </c>
      <c r="G178" s="23">
        <f t="shared" si="24"/>
        <v>7475</v>
      </c>
      <c r="H178" s="23">
        <f t="shared" si="24"/>
        <v>80</v>
      </c>
      <c r="I178" s="23">
        <f t="shared" si="24"/>
        <v>2094</v>
      </c>
      <c r="J178" s="23">
        <f t="shared" si="24"/>
        <v>77</v>
      </c>
      <c r="K178" s="23">
        <f t="shared" si="24"/>
        <v>294</v>
      </c>
      <c r="L178" s="22"/>
      <c r="M178" s="36"/>
    </row>
    <row r="179" spans="1:13">
      <c r="A179" s="78">
        <v>1</v>
      </c>
      <c r="B179" s="92" t="s">
        <v>18</v>
      </c>
      <c r="C179" s="92" t="s">
        <v>19</v>
      </c>
      <c r="D179" s="40">
        <f t="shared" ref="D179:E179" si="25">F179+H179+J179</f>
        <v>1</v>
      </c>
      <c r="E179" s="40">
        <f t="shared" si="25"/>
        <v>215</v>
      </c>
      <c r="F179" s="93">
        <v>1</v>
      </c>
      <c r="G179" s="94">
        <v>215</v>
      </c>
      <c r="H179" s="93">
        <v>0</v>
      </c>
      <c r="I179" s="94"/>
      <c r="J179" s="93"/>
      <c r="K179" s="94"/>
      <c r="L179" s="4"/>
      <c r="M179" s="36"/>
    </row>
    <row r="180" spans="1:13">
      <c r="A180" s="2">
        <v>2</v>
      </c>
      <c r="B180" s="4" t="s">
        <v>18</v>
      </c>
      <c r="C180" s="4" t="s">
        <v>57</v>
      </c>
      <c r="D180" s="4">
        <f>'phường Quảng Trị'!E285+'phường Quảng Trị'!E286+'phường Quảng Trị'!E287</f>
        <v>18</v>
      </c>
      <c r="E180" s="4">
        <f>'phường Quảng Trị'!F285+'phường Quảng Trị'!F286+'phường Quảng Trị'!F287</f>
        <v>217</v>
      </c>
      <c r="F180" s="4">
        <f>'phường Quảng Trị'!G285+'phường Quảng Trị'!G286+'phường Quảng Trị'!G287</f>
        <v>2</v>
      </c>
      <c r="G180" s="4">
        <f>'phường Quảng Trị'!H285+'phường Quảng Trị'!H286+'phường Quảng Trị'!H287</f>
        <v>140</v>
      </c>
      <c r="H180" s="4">
        <f>'phường Quảng Trị'!I285+'phường Quảng Trị'!I286+'phường Quảng Trị'!I287</f>
        <v>3</v>
      </c>
      <c r="I180" s="4">
        <f>'phường Quảng Trị'!J285+'phường Quảng Trị'!J286+'phường Quảng Trị'!J287</f>
        <v>38</v>
      </c>
      <c r="J180" s="4">
        <f>'phường Quảng Trị'!K285+'phường Quảng Trị'!K286+'phường Quảng Trị'!K287</f>
        <v>13</v>
      </c>
      <c r="K180" s="4">
        <f>'phường Quảng Trị'!L285+'phường Quảng Trị'!L286+'phường Quảng Trị'!L287</f>
        <v>39</v>
      </c>
      <c r="L180" s="4" t="s">
        <v>268</v>
      </c>
      <c r="M180" s="36"/>
    </row>
    <row r="181" spans="1:13" s="12" customFormat="1">
      <c r="A181" s="78">
        <v>3</v>
      </c>
      <c r="B181" s="4" t="s">
        <v>18</v>
      </c>
      <c r="C181" s="4" t="s">
        <v>333</v>
      </c>
      <c r="D181" s="4">
        <f>'phường Quảng Trị'!E288+'phường Quảng Trị'!E289</f>
        <v>13</v>
      </c>
      <c r="E181" s="4">
        <f>'phường Quảng Trị'!F288+'phường Quảng Trị'!F289</f>
        <v>469</v>
      </c>
      <c r="F181" s="4">
        <f>'phường Quảng Trị'!G288+'phường Quảng Trị'!G289</f>
        <v>2</v>
      </c>
      <c r="G181" s="4">
        <f>'phường Quảng Trị'!H288+'phường Quảng Trị'!H289</f>
        <v>412</v>
      </c>
      <c r="H181" s="4">
        <f>'phường Quảng Trị'!I288+'phường Quảng Trị'!I289</f>
        <v>1</v>
      </c>
      <c r="I181" s="4">
        <f>'phường Quảng Trị'!J288+'phường Quảng Trị'!J289</f>
        <v>27</v>
      </c>
      <c r="J181" s="4">
        <f>'phường Quảng Trị'!K288+'phường Quảng Trị'!K289</f>
        <v>10</v>
      </c>
      <c r="K181" s="4">
        <f>'phường Quảng Trị'!L288+'phường Quảng Trị'!L289</f>
        <v>30</v>
      </c>
      <c r="L181" s="4" t="s">
        <v>267</v>
      </c>
      <c r="M181" s="36"/>
    </row>
    <row r="182" spans="1:13" s="14" customFormat="1">
      <c r="A182" s="2">
        <v>4</v>
      </c>
      <c r="B182" s="4" t="s">
        <v>18</v>
      </c>
      <c r="C182" s="4" t="s">
        <v>85</v>
      </c>
      <c r="D182" s="4">
        <f>'phường Quảng Trị'!E290+'phường Quảng Trị'!E291</f>
        <v>2</v>
      </c>
      <c r="E182" s="4">
        <f>'phường Quảng Trị'!F290+'phường Quảng Trị'!F291</f>
        <v>98</v>
      </c>
      <c r="F182" s="4">
        <f>'phường Quảng Trị'!G290+'phường Quảng Trị'!G291</f>
        <v>1</v>
      </c>
      <c r="G182" s="4">
        <f>'phường Quảng Trị'!H290+'phường Quảng Trị'!H291</f>
        <v>52</v>
      </c>
      <c r="H182" s="4">
        <f>'phường Quảng Trị'!I290+'phường Quảng Trị'!I291</f>
        <v>1</v>
      </c>
      <c r="I182" s="4">
        <f>'phường Quảng Trị'!J290+'phường Quảng Trị'!J291</f>
        <v>46</v>
      </c>
      <c r="J182" s="4">
        <f>'phường Quảng Trị'!K290+'phường Quảng Trị'!K291</f>
        <v>0</v>
      </c>
      <c r="K182" s="4">
        <f>'phường Quảng Trị'!L290+'phường Quảng Trị'!L291</f>
        <v>0</v>
      </c>
      <c r="L182" s="4" t="s">
        <v>267</v>
      </c>
      <c r="M182" s="36"/>
    </row>
    <row r="183" spans="1:13" s="12" customFormat="1">
      <c r="A183" s="78">
        <v>5</v>
      </c>
      <c r="B183" s="4" t="s">
        <v>18</v>
      </c>
      <c r="C183" s="4" t="s">
        <v>94</v>
      </c>
      <c r="D183" s="5">
        <f t="shared" ref="D183:E183" si="26">F183+H183+J183</f>
        <v>2</v>
      </c>
      <c r="E183" s="5">
        <f t="shared" si="26"/>
        <v>39</v>
      </c>
      <c r="F183" s="4"/>
      <c r="G183" s="4"/>
      <c r="H183" s="4">
        <v>2</v>
      </c>
      <c r="I183" s="4">
        <f>19+20</f>
        <v>39</v>
      </c>
      <c r="J183" s="4"/>
      <c r="K183" s="4"/>
      <c r="L183" s="4"/>
      <c r="M183" s="36"/>
    </row>
    <row r="184" spans="1:13" s="12" customFormat="1">
      <c r="A184" s="2">
        <v>6</v>
      </c>
      <c r="B184" s="4" t="s">
        <v>18</v>
      </c>
      <c r="C184" s="4" t="s">
        <v>103</v>
      </c>
      <c r="D184" s="5">
        <f>'phường Quảng Trị'!E293+'phường Quảng Trị'!E294</f>
        <v>14</v>
      </c>
      <c r="E184" s="5">
        <f>'phường Quảng Trị'!F293+'phường Quảng Trị'!F294</f>
        <v>617</v>
      </c>
      <c r="F184" s="5">
        <f>'phường Quảng Trị'!G293+'phường Quảng Trị'!G294</f>
        <v>3</v>
      </c>
      <c r="G184" s="5">
        <f>'phường Quảng Trị'!H293+'phường Quảng Trị'!H294</f>
        <v>507</v>
      </c>
      <c r="H184" s="5">
        <f>'phường Quảng Trị'!I293+'phường Quảng Trị'!I294</f>
        <v>11</v>
      </c>
      <c r="I184" s="5">
        <f>'phường Quảng Trị'!J293+'phường Quảng Trị'!J294</f>
        <v>110</v>
      </c>
      <c r="J184" s="5">
        <f>'phường Quảng Trị'!K293+'phường Quảng Trị'!K294</f>
        <v>0</v>
      </c>
      <c r="K184" s="5">
        <f>'phường Quảng Trị'!L293+'phường Quảng Trị'!L294</f>
        <v>0</v>
      </c>
      <c r="L184" s="4" t="s">
        <v>267</v>
      </c>
      <c r="M184" s="36"/>
    </row>
    <row r="185" spans="1:13" s="12" customFormat="1">
      <c r="A185" s="78">
        <v>7</v>
      </c>
      <c r="B185" s="4" t="s">
        <v>18</v>
      </c>
      <c r="C185" s="4" t="s">
        <v>115</v>
      </c>
      <c r="D185" s="4">
        <f>'phường Quảng Trị'!E295+'phường Quảng Trị'!E296</f>
        <v>17</v>
      </c>
      <c r="E185" s="4">
        <f>'phường Quảng Trị'!F295+'phường Quảng Trị'!F296</f>
        <v>652</v>
      </c>
      <c r="F185" s="4">
        <f>'phường Quảng Trị'!G295+'phường Quảng Trị'!G296</f>
        <v>3</v>
      </c>
      <c r="G185" s="4">
        <f>'phường Quảng Trị'!H295+'phường Quảng Trị'!H296</f>
        <v>351</v>
      </c>
      <c r="H185" s="4">
        <f>'phường Quảng Trị'!I295+'phường Quảng Trị'!I296</f>
        <v>7</v>
      </c>
      <c r="I185" s="4">
        <f>'phường Quảng Trị'!J295+'phường Quảng Trị'!J296</f>
        <v>280</v>
      </c>
      <c r="J185" s="4">
        <f>'phường Quảng Trị'!K295+'phường Quảng Trị'!K296</f>
        <v>7</v>
      </c>
      <c r="K185" s="4">
        <f>'phường Quảng Trị'!L295+'phường Quảng Trị'!L296</f>
        <v>21</v>
      </c>
      <c r="L185" s="4" t="s">
        <v>267</v>
      </c>
      <c r="M185" s="36"/>
    </row>
    <row r="186" spans="1:13" s="12" customFormat="1">
      <c r="A186" s="2">
        <v>8</v>
      </c>
      <c r="B186" s="4" t="s">
        <v>18</v>
      </c>
      <c r="C186" s="4" t="s">
        <v>119</v>
      </c>
      <c r="D186" s="4">
        <f>'phường Quảng Trị'!E297+'phường Quảng Trị'!E298+'phường Quảng Trị'!E299</f>
        <v>6</v>
      </c>
      <c r="E186" s="4">
        <f>'phường Quảng Trị'!F297+'phường Quảng Trị'!F298+'phường Quảng Trị'!F299</f>
        <v>1014</v>
      </c>
      <c r="F186" s="4">
        <f>'phường Quảng Trị'!G297+'phường Quảng Trị'!G298+'phường Quảng Trị'!G299</f>
        <v>6</v>
      </c>
      <c r="G186" s="4">
        <f>'phường Quảng Trị'!H297+'phường Quảng Trị'!H298+'phường Quảng Trị'!H299</f>
        <v>1014</v>
      </c>
      <c r="H186" s="4">
        <f>'phường Quảng Trị'!I297+'phường Quảng Trị'!I298+'phường Quảng Trị'!I299</f>
        <v>0</v>
      </c>
      <c r="I186" s="4">
        <f>'phường Quảng Trị'!J297+'phường Quảng Trị'!J298+'phường Quảng Trị'!J299</f>
        <v>0</v>
      </c>
      <c r="J186" s="4">
        <f>'phường Quảng Trị'!K297+'phường Quảng Trị'!K298+'phường Quảng Trị'!K299</f>
        <v>0</v>
      </c>
      <c r="K186" s="4">
        <f>'phường Quảng Trị'!L297+'phường Quảng Trị'!L298+'phường Quảng Trị'!L299</f>
        <v>0</v>
      </c>
      <c r="L186" s="4" t="s">
        <v>268</v>
      </c>
      <c r="M186" s="36"/>
    </row>
    <row r="187" spans="1:13" s="12" customFormat="1">
      <c r="A187" s="78">
        <v>9</v>
      </c>
      <c r="B187" s="7" t="s">
        <v>18</v>
      </c>
      <c r="C187" s="7" t="s">
        <v>137</v>
      </c>
      <c r="D187" s="8">
        <f>'phường Quảng Trị'!E300+'phường Quảng Trị'!E301</f>
        <v>30</v>
      </c>
      <c r="E187" s="8">
        <f>'phường Quảng Trị'!F300+'phường Quảng Trị'!F301</f>
        <v>727</v>
      </c>
      <c r="F187" s="8">
        <f>'phường Quảng Trị'!G300+'phường Quảng Trị'!G301</f>
        <v>3</v>
      </c>
      <c r="G187" s="8">
        <f>'phường Quảng Trị'!H300+'phường Quảng Trị'!H301</f>
        <v>513</v>
      </c>
      <c r="H187" s="8">
        <f>'phường Quảng Trị'!I300+'phường Quảng Trị'!I301</f>
        <v>13</v>
      </c>
      <c r="I187" s="8">
        <f>'phường Quảng Trị'!J300+'phường Quảng Trị'!J301</f>
        <v>130</v>
      </c>
      <c r="J187" s="8">
        <f>'phường Quảng Trị'!K300+'phường Quảng Trị'!K301</f>
        <v>14</v>
      </c>
      <c r="K187" s="8">
        <f>'phường Quảng Trị'!L300+'phường Quảng Trị'!L301</f>
        <v>84</v>
      </c>
      <c r="L187" s="4" t="s">
        <v>267</v>
      </c>
      <c r="M187" s="36"/>
    </row>
    <row r="188" spans="1:13" s="12" customFormat="1">
      <c r="A188" s="2">
        <v>10</v>
      </c>
      <c r="B188" s="7" t="s">
        <v>18</v>
      </c>
      <c r="C188" s="7" t="s">
        <v>138</v>
      </c>
      <c r="D188" s="8">
        <f>'phường Quảng Trị'!E302+'phường Quảng Trị'!E303+'phường Quảng Trị'!E304</f>
        <v>14</v>
      </c>
      <c r="E188" s="8">
        <f>'phường Quảng Trị'!F302+'phường Quảng Trị'!F303+'phường Quảng Trị'!F304</f>
        <v>1025</v>
      </c>
      <c r="F188" s="8">
        <f>'phường Quảng Trị'!G302+'phường Quảng Trị'!G303+'phường Quảng Trị'!G304</f>
        <v>4</v>
      </c>
      <c r="G188" s="8">
        <f>'phường Quảng Trị'!H302+'phường Quảng Trị'!H303+'phường Quảng Trị'!H304</f>
        <v>865</v>
      </c>
      <c r="H188" s="8">
        <f>'phường Quảng Trị'!I302+'phường Quảng Trị'!I303+'phường Quảng Trị'!I304</f>
        <v>10</v>
      </c>
      <c r="I188" s="8">
        <f>'phường Quảng Trị'!J302+'phường Quảng Trị'!J303+'phường Quảng Trị'!J304</f>
        <v>160</v>
      </c>
      <c r="J188" s="8">
        <f>'phường Quảng Trị'!K302+'phường Quảng Trị'!K303+'phường Quảng Trị'!K304</f>
        <v>0</v>
      </c>
      <c r="K188" s="8">
        <f>'phường Quảng Trị'!L302+'phường Quảng Trị'!L303+'phường Quảng Trị'!L304</f>
        <v>0</v>
      </c>
      <c r="L188" s="4" t="s">
        <v>268</v>
      </c>
      <c r="M188" s="36"/>
    </row>
    <row r="189" spans="1:13" s="12" customFormat="1">
      <c r="A189" s="78">
        <v>11</v>
      </c>
      <c r="B189" s="4" t="s">
        <v>18</v>
      </c>
      <c r="C189" s="4" t="s">
        <v>148</v>
      </c>
      <c r="D189" s="5">
        <f t="shared" ref="D189:E194" si="27">F189+H189+J189</f>
        <v>2</v>
      </c>
      <c r="E189" s="5">
        <f t="shared" si="27"/>
        <v>322</v>
      </c>
      <c r="F189" s="4">
        <v>2</v>
      </c>
      <c r="G189" s="4">
        <f>250+72</f>
        <v>322</v>
      </c>
      <c r="H189" s="4"/>
      <c r="I189" s="4"/>
      <c r="J189" s="4"/>
      <c r="K189" s="4"/>
      <c r="L189" s="4"/>
      <c r="M189" s="36"/>
    </row>
    <row r="190" spans="1:13" s="12" customFormat="1">
      <c r="A190" s="2">
        <v>12</v>
      </c>
      <c r="B190" s="4" t="s">
        <v>18</v>
      </c>
      <c r="C190" s="7" t="s">
        <v>334</v>
      </c>
      <c r="D190" s="5">
        <f t="shared" si="27"/>
        <v>2</v>
      </c>
      <c r="E190" s="5">
        <f t="shared" si="27"/>
        <v>70</v>
      </c>
      <c r="F190" s="4"/>
      <c r="G190" s="4"/>
      <c r="H190" s="4">
        <v>2</v>
      </c>
      <c r="I190" s="4">
        <f>34+36</f>
        <v>70</v>
      </c>
      <c r="J190" s="4"/>
      <c r="K190" s="4"/>
      <c r="L190" s="4"/>
      <c r="M190" s="36"/>
    </row>
    <row r="191" spans="1:13" s="14" customFormat="1">
      <c r="A191" s="78">
        <v>13</v>
      </c>
      <c r="B191" s="4" t="s">
        <v>18</v>
      </c>
      <c r="C191" s="4" t="s">
        <v>154</v>
      </c>
      <c r="D191" s="4">
        <f t="shared" si="27"/>
        <v>11</v>
      </c>
      <c r="E191" s="5">
        <f t="shared" si="27"/>
        <v>136</v>
      </c>
      <c r="F191" s="4">
        <v>1</v>
      </c>
      <c r="G191" s="4">
        <v>121</v>
      </c>
      <c r="H191" s="4"/>
      <c r="I191" s="4"/>
      <c r="J191" s="4">
        <v>10</v>
      </c>
      <c r="K191" s="4">
        <v>15</v>
      </c>
      <c r="L191" s="4"/>
      <c r="M191" s="36"/>
    </row>
    <row r="192" spans="1:13" s="14" customFormat="1">
      <c r="A192" s="2">
        <v>14</v>
      </c>
      <c r="B192" s="4" t="s">
        <v>18</v>
      </c>
      <c r="C192" s="4" t="s">
        <v>335</v>
      </c>
      <c r="D192" s="4">
        <f t="shared" si="27"/>
        <v>1</v>
      </c>
      <c r="E192" s="5">
        <f t="shared" si="27"/>
        <v>65</v>
      </c>
      <c r="F192" s="4"/>
      <c r="G192" s="4"/>
      <c r="H192" s="4">
        <v>1</v>
      </c>
      <c r="I192" s="4">
        <v>65</v>
      </c>
      <c r="J192" s="4"/>
      <c r="K192" s="4"/>
      <c r="L192" s="4"/>
      <c r="M192" s="36"/>
    </row>
    <row r="193" spans="1:13" s="12" customFormat="1">
      <c r="A193" s="78">
        <v>15</v>
      </c>
      <c r="B193" s="4" t="s">
        <v>18</v>
      </c>
      <c r="C193" s="4" t="s">
        <v>177</v>
      </c>
      <c r="D193" s="5">
        <f t="shared" si="27"/>
        <v>4</v>
      </c>
      <c r="E193" s="5">
        <f t="shared" si="27"/>
        <v>351</v>
      </c>
      <c r="F193" s="4">
        <v>1</v>
      </c>
      <c r="G193" s="4">
        <v>129</v>
      </c>
      <c r="H193" s="4">
        <v>3</v>
      </c>
      <c r="I193" s="4">
        <f>73+75+74</f>
        <v>222</v>
      </c>
      <c r="J193" s="4"/>
      <c r="K193" s="4"/>
      <c r="L193" s="4"/>
      <c r="M193" s="36"/>
    </row>
    <row r="194" spans="1:13" s="12" customFormat="1">
      <c r="A194" s="2">
        <v>16</v>
      </c>
      <c r="B194" s="4" t="s">
        <v>18</v>
      </c>
      <c r="C194" s="4" t="s">
        <v>181</v>
      </c>
      <c r="D194" s="5">
        <f t="shared" si="27"/>
        <v>1</v>
      </c>
      <c r="E194" s="5">
        <f t="shared" si="27"/>
        <v>151</v>
      </c>
      <c r="F194" s="4">
        <v>1</v>
      </c>
      <c r="G194" s="4">
        <v>151</v>
      </c>
      <c r="H194" s="4"/>
      <c r="I194" s="4"/>
      <c r="J194" s="4"/>
      <c r="K194" s="4"/>
      <c r="L194" s="4"/>
      <c r="M194" s="36"/>
    </row>
    <row r="195" spans="1:13" s="12" customFormat="1">
      <c r="A195" s="78">
        <v>17</v>
      </c>
      <c r="B195" s="4" t="s">
        <v>18</v>
      </c>
      <c r="C195" s="4" t="s">
        <v>183</v>
      </c>
      <c r="D195" s="5">
        <f>'phường Quảng Trị'!E311+'phường Quảng Trị'!E312+'phường Quảng Trị'!E313</f>
        <v>16</v>
      </c>
      <c r="E195" s="5">
        <f>'phường Quảng Trị'!F311+'phường Quảng Trị'!F312+'phường Quảng Trị'!F313</f>
        <v>612</v>
      </c>
      <c r="F195" s="5">
        <f>'phường Quảng Trị'!G311+'phường Quảng Trị'!G312+'phường Quảng Trị'!G313</f>
        <v>3</v>
      </c>
      <c r="G195" s="5">
        <f>'phường Quảng Trị'!H311+'phường Quảng Trị'!H312+'phường Quảng Trị'!H313</f>
        <v>412</v>
      </c>
      <c r="H195" s="5">
        <f>'phường Quảng Trị'!I311+'phường Quảng Trị'!I312+'phường Quảng Trị'!I313</f>
        <v>2</v>
      </c>
      <c r="I195" s="5">
        <f>'phường Quảng Trị'!J311+'phường Quảng Trị'!J312+'phường Quảng Trị'!J313</f>
        <v>101</v>
      </c>
      <c r="J195" s="5">
        <f>'phường Quảng Trị'!K311+'phường Quảng Trị'!K312+'phường Quảng Trị'!K313</f>
        <v>11</v>
      </c>
      <c r="K195" s="5">
        <f>'phường Quảng Trị'!L311+'phường Quảng Trị'!L312+'phường Quảng Trị'!L313</f>
        <v>99</v>
      </c>
      <c r="L195" s="4" t="s">
        <v>268</v>
      </c>
      <c r="M195" s="36"/>
    </row>
    <row r="196" spans="1:13" s="14" customFormat="1">
      <c r="A196" s="2">
        <v>18</v>
      </c>
      <c r="B196" s="4" t="s">
        <v>18</v>
      </c>
      <c r="C196" s="4" t="s">
        <v>336</v>
      </c>
      <c r="D196" s="5">
        <f t="shared" ref="D196:E206" si="28">F196+H196+J196</f>
        <v>2</v>
      </c>
      <c r="E196" s="5">
        <f t="shared" si="28"/>
        <v>145</v>
      </c>
      <c r="F196" s="4">
        <v>2</v>
      </c>
      <c r="G196" s="4">
        <f>70+75</f>
        <v>145</v>
      </c>
      <c r="H196" s="4"/>
      <c r="I196" s="4"/>
      <c r="J196" s="4"/>
      <c r="K196" s="4"/>
      <c r="L196" s="4"/>
      <c r="M196" s="36"/>
    </row>
    <row r="197" spans="1:13" s="14" customFormat="1">
      <c r="A197" s="78">
        <v>19</v>
      </c>
      <c r="B197" s="4" t="s">
        <v>18</v>
      </c>
      <c r="C197" s="4" t="s">
        <v>191</v>
      </c>
      <c r="D197" s="4">
        <f>'phường Quảng Trị'!E315+'phường Quảng Trị'!E316</f>
        <v>2</v>
      </c>
      <c r="E197" s="4">
        <f>'phường Quảng Trị'!F315+'phường Quảng Trị'!F316</f>
        <v>101</v>
      </c>
      <c r="F197" s="4">
        <f>'phường Quảng Trị'!G315+'phường Quảng Trị'!G316</f>
        <v>0</v>
      </c>
      <c r="G197" s="4">
        <f>'phường Quảng Trị'!H315+'phường Quảng Trị'!H316</f>
        <v>0</v>
      </c>
      <c r="H197" s="4">
        <f>'phường Quảng Trị'!I315+'phường Quảng Trị'!I316</f>
        <v>2</v>
      </c>
      <c r="I197" s="4">
        <f>'phường Quảng Trị'!J315+'phường Quảng Trị'!J316</f>
        <v>101</v>
      </c>
      <c r="J197" s="4">
        <f>'phường Quảng Trị'!K315+'phường Quảng Trị'!K316</f>
        <v>0</v>
      </c>
      <c r="K197" s="4">
        <f>'phường Quảng Trị'!L315+'phường Quảng Trị'!L316</f>
        <v>0</v>
      </c>
      <c r="L197" s="4" t="s">
        <v>267</v>
      </c>
      <c r="M197" s="36"/>
    </row>
    <row r="198" spans="1:13" s="12" customFormat="1">
      <c r="A198" s="2">
        <v>20</v>
      </c>
      <c r="B198" s="4" t="s">
        <v>18</v>
      </c>
      <c r="C198" s="4" t="s">
        <v>192</v>
      </c>
      <c r="D198" s="4">
        <f>'phường Quảng Trị'!E317+'phường Quảng Trị'!E318</f>
        <v>16</v>
      </c>
      <c r="E198" s="4">
        <f>'phường Quảng Trị'!F317+'phường Quảng Trị'!F318</f>
        <v>343</v>
      </c>
      <c r="F198" s="4">
        <f>'phường Quảng Trị'!G317+'phường Quảng Trị'!G318</f>
        <v>2</v>
      </c>
      <c r="G198" s="4">
        <f>'phường Quảng Trị'!H317+'phường Quảng Trị'!H318</f>
        <v>254</v>
      </c>
      <c r="H198" s="4">
        <f>'phường Quảng Trị'!I317+'phường Quảng Trị'!I318</f>
        <v>2</v>
      </c>
      <c r="I198" s="4">
        <f>'phường Quảng Trị'!J317+'phường Quảng Trị'!J318</f>
        <v>83</v>
      </c>
      <c r="J198" s="4">
        <f>'phường Quảng Trị'!K317+'phường Quảng Trị'!K318</f>
        <v>12</v>
      </c>
      <c r="K198" s="4">
        <f>'phường Quảng Trị'!L317+'phường Quảng Trị'!L318</f>
        <v>6</v>
      </c>
      <c r="L198" s="4" t="s">
        <v>267</v>
      </c>
      <c r="M198" s="36"/>
    </row>
    <row r="199" spans="1:13" s="12" customFormat="1">
      <c r="A199" s="78">
        <v>21</v>
      </c>
      <c r="B199" s="4" t="s">
        <v>18</v>
      </c>
      <c r="C199" s="4" t="s">
        <v>337</v>
      </c>
      <c r="D199" s="4">
        <f t="shared" si="28"/>
        <v>1</v>
      </c>
      <c r="E199" s="5">
        <f t="shared" si="28"/>
        <v>67</v>
      </c>
      <c r="F199" s="4"/>
      <c r="G199" s="4"/>
      <c r="H199" s="4">
        <v>1</v>
      </c>
      <c r="I199" s="4">
        <v>67</v>
      </c>
      <c r="J199" s="4"/>
      <c r="K199" s="4"/>
      <c r="L199" s="4"/>
      <c r="M199" s="36"/>
    </row>
    <row r="200" spans="1:13" s="12" customFormat="1">
      <c r="A200" s="2">
        <v>22</v>
      </c>
      <c r="B200" s="4" t="s">
        <v>18</v>
      </c>
      <c r="C200" s="4" t="s">
        <v>197</v>
      </c>
      <c r="D200" s="5">
        <f t="shared" si="28"/>
        <v>1</v>
      </c>
      <c r="E200" s="5">
        <f t="shared" si="28"/>
        <v>205</v>
      </c>
      <c r="F200" s="4">
        <v>1</v>
      </c>
      <c r="G200" s="4">
        <v>205</v>
      </c>
      <c r="H200" s="4"/>
      <c r="I200" s="4"/>
      <c r="J200" s="4"/>
      <c r="K200" s="4"/>
      <c r="L200" s="4"/>
      <c r="M200" s="36"/>
    </row>
    <row r="201" spans="1:13" s="14" customFormat="1">
      <c r="A201" s="78">
        <v>23</v>
      </c>
      <c r="B201" s="4" t="s">
        <v>18</v>
      </c>
      <c r="C201" s="4" t="s">
        <v>338</v>
      </c>
      <c r="D201" s="5">
        <f t="shared" si="28"/>
        <v>1</v>
      </c>
      <c r="E201" s="5">
        <f t="shared" si="28"/>
        <v>124</v>
      </c>
      <c r="F201" s="4">
        <v>1</v>
      </c>
      <c r="G201" s="4">
        <v>124</v>
      </c>
      <c r="H201" s="4"/>
      <c r="I201" s="4"/>
      <c r="J201" s="4"/>
      <c r="K201" s="4"/>
      <c r="L201" s="4"/>
      <c r="M201" s="36"/>
    </row>
    <row r="202" spans="1:13" s="12" customFormat="1">
      <c r="A202" s="2">
        <v>24</v>
      </c>
      <c r="B202" s="7" t="s">
        <v>18</v>
      </c>
      <c r="C202" s="7" t="s">
        <v>202</v>
      </c>
      <c r="D202" s="7">
        <f>'phường Quảng Trị'!E322+'phường Quảng Trị'!E323</f>
        <v>2</v>
      </c>
      <c r="E202" s="7">
        <f>'phường Quảng Trị'!F322+'phường Quảng Trị'!F323</f>
        <v>221</v>
      </c>
      <c r="F202" s="7">
        <f>'phường Quảng Trị'!G322+'phường Quảng Trị'!G323</f>
        <v>2</v>
      </c>
      <c r="G202" s="7">
        <f>'phường Quảng Trị'!H322+'phường Quảng Trị'!H323</f>
        <v>221</v>
      </c>
      <c r="H202" s="7">
        <f>'phường Quảng Trị'!I322+'phường Quảng Trị'!I323</f>
        <v>0</v>
      </c>
      <c r="I202" s="7">
        <f>'phường Quảng Trị'!J322+'phường Quảng Trị'!J323</f>
        <v>0</v>
      </c>
      <c r="J202" s="7">
        <f>'phường Quảng Trị'!K322+'phường Quảng Trị'!K323</f>
        <v>0</v>
      </c>
      <c r="K202" s="7">
        <f>'phường Quảng Trị'!L322+'phường Quảng Trị'!L323</f>
        <v>0</v>
      </c>
      <c r="L202" s="4" t="s">
        <v>267</v>
      </c>
      <c r="M202" s="36"/>
    </row>
    <row r="203" spans="1:13" s="12" customFormat="1">
      <c r="A203" s="78">
        <v>25</v>
      </c>
      <c r="B203" s="7" t="s">
        <v>18</v>
      </c>
      <c r="C203" s="7" t="s">
        <v>211</v>
      </c>
      <c r="D203" s="7">
        <f>'phường Quảng Trị'!E324+'phường Quảng Trị'!E325</f>
        <v>10</v>
      </c>
      <c r="E203" s="7">
        <f>'phường Quảng Trị'!F324+'phường Quảng Trị'!F325</f>
        <v>699</v>
      </c>
      <c r="F203" s="7">
        <f>'phường Quảng Trị'!G324+'phường Quảng Trị'!G325</f>
        <v>4</v>
      </c>
      <c r="G203" s="7">
        <f>'phường Quảng Trị'!H324+'phường Quảng Trị'!H325</f>
        <v>404</v>
      </c>
      <c r="H203" s="7">
        <f>'phường Quảng Trị'!I324+'phường Quảng Trị'!I325</f>
        <v>6</v>
      </c>
      <c r="I203" s="7">
        <f>'phường Quảng Trị'!J324+'phường Quảng Trị'!J325</f>
        <v>295</v>
      </c>
      <c r="J203" s="7">
        <f>'phường Quảng Trị'!K324+'phường Quảng Trị'!K325</f>
        <v>0</v>
      </c>
      <c r="K203" s="7">
        <f>'phường Quảng Trị'!L324+'phường Quảng Trị'!L325</f>
        <v>0</v>
      </c>
      <c r="L203" s="4" t="s">
        <v>267</v>
      </c>
      <c r="M203" s="36"/>
    </row>
    <row r="204" spans="1:13" s="14" customFormat="1">
      <c r="A204" s="2">
        <v>26</v>
      </c>
      <c r="B204" s="7" t="s">
        <v>18</v>
      </c>
      <c r="C204" s="7" t="s">
        <v>212</v>
      </c>
      <c r="D204" s="7">
        <f t="shared" si="28"/>
        <v>3</v>
      </c>
      <c r="E204" s="7">
        <f t="shared" si="28"/>
        <v>543</v>
      </c>
      <c r="F204" s="7">
        <v>3</v>
      </c>
      <c r="G204" s="7">
        <f>194+190+159</f>
        <v>543</v>
      </c>
      <c r="H204" s="7"/>
      <c r="I204" s="7"/>
      <c r="J204" s="7"/>
      <c r="K204" s="7"/>
      <c r="L204" s="4" t="s">
        <v>272</v>
      </c>
      <c r="M204" s="36"/>
    </row>
    <row r="205" spans="1:13" s="12" customFormat="1">
      <c r="A205" s="78">
        <v>27</v>
      </c>
      <c r="B205" s="8" t="s">
        <v>18</v>
      </c>
      <c r="C205" s="7" t="s">
        <v>222</v>
      </c>
      <c r="D205" s="8">
        <f>'phường Quảng Trị'!E327+'phường Quảng Trị'!E328</f>
        <v>13</v>
      </c>
      <c r="E205" s="8">
        <f>'phường Quảng Trị'!F327+'phường Quảng Trị'!F328</f>
        <v>422</v>
      </c>
      <c r="F205" s="8">
        <f>'phường Quảng Trị'!G327+'phường Quảng Trị'!G328</f>
        <v>1</v>
      </c>
      <c r="G205" s="8">
        <f>'phường Quảng Trị'!H327+'phường Quảng Trị'!H328</f>
        <v>189</v>
      </c>
      <c r="H205" s="8">
        <f>'phường Quảng Trị'!I327+'phường Quảng Trị'!I328</f>
        <v>12</v>
      </c>
      <c r="I205" s="8">
        <f>'phường Quảng Trị'!J327+'phường Quảng Trị'!J328</f>
        <v>233</v>
      </c>
      <c r="J205" s="8">
        <f>'phường Quảng Trị'!K327+'phường Quảng Trị'!K328</f>
        <v>0</v>
      </c>
      <c r="K205" s="8">
        <f>'phường Quảng Trị'!L327+'phường Quảng Trị'!L328</f>
        <v>0</v>
      </c>
      <c r="L205" s="4" t="s">
        <v>267</v>
      </c>
      <c r="M205" s="36"/>
    </row>
    <row r="206" spans="1:13" s="12" customFormat="1">
      <c r="A206" s="2">
        <v>28</v>
      </c>
      <c r="B206" s="7" t="s">
        <v>18</v>
      </c>
      <c r="C206" s="7" t="s">
        <v>339</v>
      </c>
      <c r="D206" s="7">
        <f t="shared" si="28"/>
        <v>2</v>
      </c>
      <c r="E206" s="7">
        <f t="shared" si="28"/>
        <v>95</v>
      </c>
      <c r="F206" s="7">
        <v>1</v>
      </c>
      <c r="G206" s="7">
        <v>68</v>
      </c>
      <c r="H206" s="7">
        <v>1</v>
      </c>
      <c r="I206" s="7">
        <v>27</v>
      </c>
      <c r="J206" s="7"/>
      <c r="K206" s="7"/>
      <c r="L206" s="7"/>
      <c r="M206" s="36"/>
    </row>
    <row r="207" spans="1:13" s="14" customFormat="1">
      <c r="A207" s="78">
        <v>29</v>
      </c>
      <c r="B207" s="4" t="s">
        <v>18</v>
      </c>
      <c r="C207" s="4" t="s">
        <v>340</v>
      </c>
      <c r="D207" s="7">
        <f t="shared" ref="D207:E207" si="29">F207+H207+J207</f>
        <v>1</v>
      </c>
      <c r="E207" s="7">
        <f t="shared" si="29"/>
        <v>118</v>
      </c>
      <c r="F207" s="4">
        <v>1</v>
      </c>
      <c r="G207" s="4">
        <v>118</v>
      </c>
      <c r="H207" s="4"/>
      <c r="I207" s="4"/>
      <c r="J207" s="4"/>
      <c r="K207" s="4"/>
      <c r="L207" s="4" t="s">
        <v>272</v>
      </c>
      <c r="M207" s="36"/>
    </row>
    <row r="208" spans="1:13" s="24" customFormat="1" ht="14.25">
      <c r="A208" s="32" t="s">
        <v>257</v>
      </c>
      <c r="B208" s="25" t="s">
        <v>258</v>
      </c>
      <c r="C208" s="25"/>
      <c r="D208" s="27">
        <f t="shared" ref="D208:K208" si="30">SUM(D209:D219)</f>
        <v>57</v>
      </c>
      <c r="E208" s="27">
        <f t="shared" si="30"/>
        <v>4232</v>
      </c>
      <c r="F208" s="27">
        <f t="shared" si="30"/>
        <v>19</v>
      </c>
      <c r="G208" s="27">
        <f t="shared" si="30"/>
        <v>3259</v>
      </c>
      <c r="H208" s="27">
        <f t="shared" si="30"/>
        <v>18</v>
      </c>
      <c r="I208" s="27">
        <f t="shared" si="30"/>
        <v>877</v>
      </c>
      <c r="J208" s="27">
        <f t="shared" si="30"/>
        <v>20</v>
      </c>
      <c r="K208" s="27">
        <f t="shared" si="30"/>
        <v>96</v>
      </c>
      <c r="L208" s="25"/>
      <c r="M208" s="36"/>
    </row>
    <row r="209" spans="1:13" s="12" customFormat="1">
      <c r="A209" s="2">
        <v>1</v>
      </c>
      <c r="B209" s="4" t="s">
        <v>47</v>
      </c>
      <c r="C209" s="4" t="s">
        <v>48</v>
      </c>
      <c r="D209" s="4">
        <f t="shared" ref="D209:E209" si="31">F209+H209+J209</f>
        <v>6</v>
      </c>
      <c r="E209" s="6">
        <f t="shared" si="31"/>
        <v>432</v>
      </c>
      <c r="F209" s="4">
        <v>2</v>
      </c>
      <c r="G209" s="4">
        <f>274+97</f>
        <v>371</v>
      </c>
      <c r="H209" s="4">
        <v>4</v>
      </c>
      <c r="I209" s="4">
        <f>16+45</f>
        <v>61</v>
      </c>
      <c r="J209" s="4"/>
      <c r="K209" s="4"/>
      <c r="L209" s="4"/>
      <c r="M209" s="36"/>
    </row>
    <row r="210" spans="1:13" s="12" customFormat="1">
      <c r="A210" s="2">
        <v>2</v>
      </c>
      <c r="B210" s="4" t="s">
        <v>47</v>
      </c>
      <c r="C210" s="4" t="s">
        <v>139</v>
      </c>
      <c r="D210" s="5">
        <f>'phường Quảng Trị'!E333+'phường Quảng Trị'!E334</f>
        <v>3</v>
      </c>
      <c r="E210" s="5">
        <f>'phường Quảng Trị'!F333+'phường Quảng Trị'!F334</f>
        <v>760</v>
      </c>
      <c r="F210" s="5">
        <f>'phường Quảng Trị'!G333+'phường Quảng Trị'!G334</f>
        <v>3</v>
      </c>
      <c r="G210" s="5">
        <f>'phường Quảng Trị'!H333+'phường Quảng Trị'!H334</f>
        <v>760</v>
      </c>
      <c r="H210" s="4"/>
      <c r="I210" s="4"/>
      <c r="J210" s="4"/>
      <c r="K210" s="4"/>
      <c r="L210" s="4" t="s">
        <v>271</v>
      </c>
      <c r="M210" s="36"/>
    </row>
    <row r="211" spans="1:13" s="12" customFormat="1">
      <c r="A211" s="2">
        <v>3</v>
      </c>
      <c r="B211" s="4" t="s">
        <v>47</v>
      </c>
      <c r="C211" s="4" t="s">
        <v>149</v>
      </c>
      <c r="D211" s="5">
        <f t="shared" ref="D211:E211" si="32">F211+H211+J211</f>
        <v>2</v>
      </c>
      <c r="E211" s="5">
        <f t="shared" si="32"/>
        <v>242</v>
      </c>
      <c r="F211" s="4">
        <v>2</v>
      </c>
      <c r="G211" s="4">
        <f>144+98</f>
        <v>242</v>
      </c>
      <c r="H211" s="4"/>
      <c r="I211" s="4"/>
      <c r="J211" s="4"/>
      <c r="K211" s="4"/>
      <c r="L211" s="4"/>
      <c r="M211" s="36"/>
    </row>
    <row r="212" spans="1:13" s="12" customFormat="1">
      <c r="A212" s="2">
        <v>4</v>
      </c>
      <c r="B212" s="4" t="s">
        <v>47</v>
      </c>
      <c r="C212" s="4" t="s">
        <v>150</v>
      </c>
      <c r="D212" s="5">
        <f>'phường Quảng Trị'!E336+'phường Quảng Trị'!E337+'phường Quảng Trị'!E338</f>
        <v>10</v>
      </c>
      <c r="E212" s="5">
        <f>'phường Quảng Trị'!F336+'phường Quảng Trị'!F337+'phường Quảng Trị'!F338</f>
        <v>742</v>
      </c>
      <c r="F212" s="5">
        <f>'phường Quảng Trị'!G336+'phường Quảng Trị'!G337+'phường Quảng Trị'!G338</f>
        <v>5</v>
      </c>
      <c r="G212" s="5">
        <f>'phường Quảng Trị'!H336+'phường Quảng Trị'!H337+'phường Quảng Trị'!H338</f>
        <v>620</v>
      </c>
      <c r="H212" s="5">
        <f>'phường Quảng Trị'!I336+'phường Quảng Trị'!I337+'phường Quảng Trị'!I338</f>
        <v>3</v>
      </c>
      <c r="I212" s="5">
        <f>'phường Quảng Trị'!J336+'phường Quảng Trị'!J337+'phường Quảng Trị'!J338</f>
        <v>108</v>
      </c>
      <c r="J212" s="5">
        <f>'phường Quảng Trị'!K336+'phường Quảng Trị'!K337+'phường Quảng Trị'!K338</f>
        <v>2</v>
      </c>
      <c r="K212" s="5">
        <f>'phường Quảng Trị'!L336+'phường Quảng Trị'!L337+'phường Quảng Trị'!L338</f>
        <v>14</v>
      </c>
      <c r="L212" s="4" t="s">
        <v>268</v>
      </c>
      <c r="M212" s="36"/>
    </row>
    <row r="213" spans="1:13" s="12" customFormat="1">
      <c r="A213" s="2">
        <v>5</v>
      </c>
      <c r="B213" s="4" t="s">
        <v>47</v>
      </c>
      <c r="C213" s="4" t="s">
        <v>187</v>
      </c>
      <c r="D213" s="5">
        <f>'phường Quảng Trị'!E339+'phường Quảng Trị'!E340</f>
        <v>14</v>
      </c>
      <c r="E213" s="5">
        <f>'phường Quảng Trị'!F339+'phường Quảng Trị'!F340</f>
        <v>758</v>
      </c>
      <c r="F213" s="5">
        <f>'phường Quảng Trị'!G339+'phường Quảng Trị'!G340</f>
        <v>4</v>
      </c>
      <c r="G213" s="5">
        <f>'phường Quảng Trị'!H339+'phường Quảng Trị'!H340</f>
        <v>645</v>
      </c>
      <c r="H213" s="5">
        <f>'phường Quảng Trị'!I339+'phường Quảng Trị'!I340</f>
        <v>1</v>
      </c>
      <c r="I213" s="5">
        <f>'phường Quảng Trị'!J339+'phường Quảng Trị'!J340</f>
        <v>91</v>
      </c>
      <c r="J213" s="5">
        <f>'phường Quảng Trị'!K339+'phường Quảng Trị'!K340</f>
        <v>9</v>
      </c>
      <c r="K213" s="5">
        <f>'phường Quảng Trị'!L339+'phường Quảng Trị'!L340</f>
        <v>22</v>
      </c>
      <c r="L213" s="4" t="s">
        <v>271</v>
      </c>
      <c r="M213" s="36"/>
    </row>
    <row r="214" spans="1:13" s="14" customFormat="1">
      <c r="A214" s="2">
        <v>6</v>
      </c>
      <c r="B214" s="4" t="s">
        <v>47</v>
      </c>
      <c r="C214" s="4" t="s">
        <v>198</v>
      </c>
      <c r="D214" s="5">
        <f t="shared" ref="D214:E219" si="33">F214+H214+J214</f>
        <v>2</v>
      </c>
      <c r="E214" s="5">
        <f t="shared" si="33"/>
        <v>56</v>
      </c>
      <c r="F214" s="4"/>
      <c r="G214" s="4"/>
      <c r="H214" s="4">
        <v>2</v>
      </c>
      <c r="I214" s="4">
        <f>29+27</f>
        <v>56</v>
      </c>
      <c r="J214" s="4"/>
      <c r="K214" s="4"/>
      <c r="L214" s="4"/>
      <c r="M214" s="36"/>
    </row>
    <row r="215" spans="1:13" s="14" customFormat="1">
      <c r="A215" s="2">
        <v>7</v>
      </c>
      <c r="B215" s="7" t="s">
        <v>47</v>
      </c>
      <c r="C215" s="7" t="s">
        <v>213</v>
      </c>
      <c r="D215" s="7">
        <f>'phường Quảng Trị'!E342+'phường Quảng Trị'!E343</f>
        <v>10</v>
      </c>
      <c r="E215" s="7">
        <f>'phường Quảng Trị'!F342+'phường Quảng Trị'!F343</f>
        <v>278</v>
      </c>
      <c r="F215" s="7">
        <f>'phường Quảng Trị'!G342+'phường Quảng Trị'!G343</f>
        <v>1</v>
      </c>
      <c r="G215" s="7">
        <f>'phường Quảng Trị'!H342+'phường Quảng Trị'!H343</f>
        <v>218</v>
      </c>
      <c r="H215" s="7">
        <f>'phường Quảng Trị'!I342+'phường Quảng Trị'!I343</f>
        <v>0</v>
      </c>
      <c r="I215" s="7">
        <f>'phường Quảng Trị'!J342+'phường Quảng Trị'!J343</f>
        <v>0</v>
      </c>
      <c r="J215" s="7">
        <f>'phường Quảng Trị'!K342+'phường Quảng Trị'!K343</f>
        <v>9</v>
      </c>
      <c r="K215" s="7">
        <f>'phường Quảng Trị'!L342+'phường Quảng Trị'!L343</f>
        <v>60</v>
      </c>
      <c r="L215" s="4" t="s">
        <v>267</v>
      </c>
      <c r="M215" s="36"/>
    </row>
    <row r="216" spans="1:13" s="14" customFormat="1">
      <c r="A216" s="2">
        <v>8</v>
      </c>
      <c r="B216" s="7" t="s">
        <v>47</v>
      </c>
      <c r="C216" s="7" t="s">
        <v>214</v>
      </c>
      <c r="D216" s="7">
        <f t="shared" si="33"/>
        <v>3</v>
      </c>
      <c r="E216" s="7">
        <f t="shared" si="33"/>
        <v>272</v>
      </c>
      <c r="F216" s="7">
        <v>1</v>
      </c>
      <c r="G216" s="7">
        <v>187</v>
      </c>
      <c r="H216" s="7">
        <v>2</v>
      </c>
      <c r="I216" s="7">
        <f>45+40</f>
        <v>85</v>
      </c>
      <c r="J216" s="7"/>
      <c r="K216" s="7"/>
      <c r="L216" s="7"/>
      <c r="M216" s="36"/>
    </row>
    <row r="217" spans="1:13" s="14" customFormat="1">
      <c r="A217" s="2">
        <v>9</v>
      </c>
      <c r="B217" s="7" t="s">
        <v>47</v>
      </c>
      <c r="C217" s="7" t="s">
        <v>225</v>
      </c>
      <c r="D217" s="8">
        <f>'phường Quảng Trị'!E345+'phường Quảng Trị'!E346</f>
        <v>3</v>
      </c>
      <c r="E217" s="8">
        <f>'phường Quảng Trị'!F345+'phường Quảng Trị'!F346</f>
        <v>265</v>
      </c>
      <c r="F217" s="8">
        <f>'phường Quảng Trị'!G345+'phường Quảng Trị'!G346</f>
        <v>0</v>
      </c>
      <c r="G217" s="8">
        <f>'phường Quảng Trị'!H345+'phường Quảng Trị'!H346</f>
        <v>0</v>
      </c>
      <c r="H217" s="8">
        <f>'phường Quảng Trị'!I345+'phường Quảng Trị'!I346</f>
        <v>3</v>
      </c>
      <c r="I217" s="8">
        <f>'phường Quảng Trị'!J345+'phường Quảng Trị'!J346</f>
        <v>265</v>
      </c>
      <c r="J217" s="8">
        <f>'phường Quảng Trị'!K345+'phường Quảng Trị'!K346</f>
        <v>0</v>
      </c>
      <c r="K217" s="8">
        <f>'phường Quảng Trị'!L345+'phường Quảng Trị'!L346</f>
        <v>0</v>
      </c>
      <c r="L217" s="4" t="s">
        <v>267</v>
      </c>
      <c r="M217" s="36"/>
    </row>
    <row r="218" spans="1:13" s="12" customFormat="1">
      <c r="A218" s="2">
        <v>10</v>
      </c>
      <c r="B218" s="7" t="s">
        <v>47</v>
      </c>
      <c r="C218" s="7" t="s">
        <v>233</v>
      </c>
      <c r="D218" s="4">
        <f t="shared" si="33"/>
        <v>3</v>
      </c>
      <c r="E218" s="7">
        <f t="shared" si="33"/>
        <v>211</v>
      </c>
      <c r="F218" s="4"/>
      <c r="G218" s="4"/>
      <c r="H218" s="4">
        <v>3</v>
      </c>
      <c r="I218" s="4">
        <f>67+71+73</f>
        <v>211</v>
      </c>
      <c r="J218" s="4"/>
      <c r="K218" s="4"/>
      <c r="L218" s="4"/>
      <c r="M218" s="36"/>
    </row>
    <row r="219" spans="1:13" s="14" customFormat="1">
      <c r="A219" s="2">
        <v>11</v>
      </c>
      <c r="B219" s="4" t="s">
        <v>47</v>
      </c>
      <c r="C219" s="4" t="s">
        <v>240</v>
      </c>
      <c r="D219" s="5">
        <f t="shared" si="33"/>
        <v>1</v>
      </c>
      <c r="E219" s="7">
        <f t="shared" si="33"/>
        <v>216</v>
      </c>
      <c r="F219" s="4">
        <v>1</v>
      </c>
      <c r="G219" s="4">
        <v>216</v>
      </c>
      <c r="H219" s="4"/>
      <c r="I219" s="4"/>
      <c r="J219" s="4"/>
      <c r="K219" s="4"/>
      <c r="L219" s="4" t="s">
        <v>272</v>
      </c>
      <c r="M219" s="36"/>
    </row>
    <row r="220" spans="1:13" s="24" customFormat="1" ht="14.25">
      <c r="A220" s="32" t="s">
        <v>259</v>
      </c>
      <c r="B220" s="102" t="s">
        <v>258</v>
      </c>
      <c r="C220" s="102"/>
      <c r="D220" s="32">
        <f t="shared" ref="D220:K220" si="34">D221</f>
        <v>2</v>
      </c>
      <c r="E220" s="32">
        <f t="shared" si="34"/>
        <v>106</v>
      </c>
      <c r="F220" s="32">
        <f t="shared" si="34"/>
        <v>0</v>
      </c>
      <c r="G220" s="32">
        <f t="shared" si="34"/>
        <v>0</v>
      </c>
      <c r="H220" s="32">
        <f t="shared" si="34"/>
        <v>2</v>
      </c>
      <c r="I220" s="32">
        <f t="shared" si="34"/>
        <v>106</v>
      </c>
      <c r="J220" s="32">
        <f t="shared" si="34"/>
        <v>0</v>
      </c>
      <c r="K220" s="32">
        <f t="shared" si="34"/>
        <v>0</v>
      </c>
      <c r="L220" s="25"/>
      <c r="M220" s="36"/>
    </row>
    <row r="221" spans="1:13" s="14" customFormat="1">
      <c r="A221" s="35">
        <v>1</v>
      </c>
      <c r="B221" s="96" t="s">
        <v>21</v>
      </c>
      <c r="C221" s="96" t="s">
        <v>22</v>
      </c>
      <c r="D221" s="46">
        <f>'phường Quảng Trị'!E350+'phường Quảng Trị'!E351</f>
        <v>2</v>
      </c>
      <c r="E221" s="46">
        <f>'phường Quảng Trị'!F350+'phường Quảng Trị'!F351</f>
        <v>106</v>
      </c>
      <c r="F221" s="46"/>
      <c r="G221" s="46"/>
      <c r="H221" s="46">
        <f>'phường Quảng Trị'!I350+'phường Quảng Trị'!I351</f>
        <v>2</v>
      </c>
      <c r="I221" s="46">
        <f>'phường Quảng Trị'!J350+'phường Quảng Trị'!J351</f>
        <v>106</v>
      </c>
      <c r="J221" s="97"/>
      <c r="K221" s="98"/>
      <c r="L221" s="4" t="s">
        <v>267</v>
      </c>
      <c r="M221" s="36"/>
    </row>
    <row r="222" spans="1:13" s="24" customFormat="1" ht="14.25">
      <c r="A222" s="32" t="s">
        <v>261</v>
      </c>
      <c r="B222" s="95" t="s">
        <v>243</v>
      </c>
      <c r="C222" s="25"/>
      <c r="D222" s="33">
        <f t="shared" ref="D222:K222" si="35">D223+D224</f>
        <v>47</v>
      </c>
      <c r="E222" s="33">
        <f t="shared" si="35"/>
        <v>2282</v>
      </c>
      <c r="F222" s="33">
        <f t="shared" si="35"/>
        <v>1</v>
      </c>
      <c r="G222" s="33">
        <f t="shared" si="35"/>
        <v>94</v>
      </c>
      <c r="H222" s="33">
        <f t="shared" si="35"/>
        <v>46</v>
      </c>
      <c r="I222" s="33">
        <f t="shared" si="35"/>
        <v>2188</v>
      </c>
      <c r="J222" s="33">
        <f t="shared" si="35"/>
        <v>0</v>
      </c>
      <c r="K222" s="33">
        <f t="shared" si="35"/>
        <v>0</v>
      </c>
      <c r="L222" s="25"/>
      <c r="M222" s="36"/>
    </row>
    <row r="223" spans="1:13" s="14" customFormat="1">
      <c r="A223" s="13">
        <v>1</v>
      </c>
      <c r="B223" s="15" t="s">
        <v>116</v>
      </c>
      <c r="C223" s="15" t="s">
        <v>117</v>
      </c>
      <c r="D223" s="15">
        <f t="shared" ref="D223:E223" si="36">F223+H223+J223</f>
        <v>3</v>
      </c>
      <c r="E223" s="17">
        <f t="shared" si="36"/>
        <v>277</v>
      </c>
      <c r="F223" s="15"/>
      <c r="G223" s="15"/>
      <c r="H223" s="15">
        <v>3</v>
      </c>
      <c r="I223" s="15">
        <f>89+95+93</f>
        <v>277</v>
      </c>
      <c r="J223" s="15"/>
      <c r="K223" s="15"/>
      <c r="L223" s="15"/>
      <c r="M223" s="36"/>
    </row>
    <row r="224" spans="1:13" s="14" customFormat="1">
      <c r="A224" s="13">
        <v>2</v>
      </c>
      <c r="B224" s="15" t="s">
        <v>116</v>
      </c>
      <c r="C224" s="15" t="s">
        <v>189</v>
      </c>
      <c r="D224" s="15">
        <f>'phường Quảng Trị'!E354+'phường Quảng Trị'!E355+'phường Quảng Trị'!E356</f>
        <v>44</v>
      </c>
      <c r="E224" s="15">
        <f>'phường Quảng Trị'!F354+'phường Quảng Trị'!F355+'phường Quảng Trị'!F356</f>
        <v>2005</v>
      </c>
      <c r="F224" s="15">
        <f>'phường Quảng Trị'!G354+'phường Quảng Trị'!G355+'phường Quảng Trị'!G356</f>
        <v>1</v>
      </c>
      <c r="G224" s="15">
        <f>'phường Quảng Trị'!H354+'phường Quảng Trị'!H355+'phường Quảng Trị'!H356</f>
        <v>94</v>
      </c>
      <c r="H224" s="15">
        <f>'phường Quảng Trị'!I354+'phường Quảng Trị'!I355+'phường Quảng Trị'!I356</f>
        <v>43</v>
      </c>
      <c r="I224" s="15">
        <f>'phường Quảng Trị'!J354+'phường Quảng Trị'!J355+'phường Quảng Trị'!J356</f>
        <v>1911</v>
      </c>
      <c r="J224" s="15"/>
      <c r="K224" s="15"/>
      <c r="L224" s="4" t="s">
        <v>268</v>
      </c>
      <c r="M224" s="36"/>
    </row>
    <row r="225" spans="1:13" s="28" customFormat="1" ht="14.25">
      <c r="A225" s="30" t="s">
        <v>262</v>
      </c>
      <c r="B225" s="32" t="s">
        <v>263</v>
      </c>
      <c r="C225" s="26"/>
      <c r="D225" s="26">
        <f t="shared" ref="D225:I225" si="37">D226</f>
        <v>3</v>
      </c>
      <c r="E225" s="26">
        <f t="shared" si="37"/>
        <v>36</v>
      </c>
      <c r="F225" s="26">
        <f t="shared" si="37"/>
        <v>0</v>
      </c>
      <c r="G225" s="26">
        <f t="shared" si="37"/>
        <v>0</v>
      </c>
      <c r="H225" s="26">
        <f t="shared" si="37"/>
        <v>3</v>
      </c>
      <c r="I225" s="26">
        <f t="shared" si="37"/>
        <v>36</v>
      </c>
      <c r="J225" s="26"/>
      <c r="K225" s="26"/>
      <c r="L225" s="26"/>
      <c r="M225" s="36"/>
    </row>
    <row r="226" spans="1:13" s="14" customFormat="1">
      <c r="A226" s="13">
        <v>1</v>
      </c>
      <c r="B226" s="15" t="s">
        <v>140</v>
      </c>
      <c r="C226" s="15" t="s">
        <v>141</v>
      </c>
      <c r="D226" s="16">
        <f>'phường Quảng Trị'!E358+'phường Quảng Trị'!E359</f>
        <v>3</v>
      </c>
      <c r="E226" s="16">
        <f>'phường Quảng Trị'!F358+'phường Quảng Trị'!F359</f>
        <v>36</v>
      </c>
      <c r="F226" s="16">
        <f>'phường Quảng Trị'!G358+'phường Quảng Trị'!G359</f>
        <v>0</v>
      </c>
      <c r="G226" s="16">
        <f>'phường Quảng Trị'!H358+'phường Quảng Trị'!H359</f>
        <v>0</v>
      </c>
      <c r="H226" s="16">
        <f>'phường Quảng Trị'!I358+'phường Quảng Trị'!I359</f>
        <v>3</v>
      </c>
      <c r="I226" s="16">
        <f>'phường Quảng Trị'!J358+'phường Quảng Trị'!J359</f>
        <v>36</v>
      </c>
      <c r="J226" s="15"/>
      <c r="K226" s="15"/>
      <c r="L226" s="4" t="s">
        <v>271</v>
      </c>
      <c r="M226" s="36"/>
    </row>
    <row r="227" spans="1:13" s="28" customFormat="1" ht="14.25">
      <c r="A227" s="30" t="s">
        <v>264</v>
      </c>
      <c r="B227" s="95" t="s">
        <v>235</v>
      </c>
      <c r="C227" s="26"/>
      <c r="D227" s="34">
        <f t="shared" ref="D227:I227" si="38">D228</f>
        <v>4</v>
      </c>
      <c r="E227" s="34">
        <f t="shared" si="38"/>
        <v>239</v>
      </c>
      <c r="F227" s="34">
        <f t="shared" si="38"/>
        <v>0</v>
      </c>
      <c r="G227" s="34">
        <f t="shared" si="38"/>
        <v>0</v>
      </c>
      <c r="H227" s="34">
        <f t="shared" si="38"/>
        <v>4</v>
      </c>
      <c r="I227" s="34">
        <f t="shared" si="38"/>
        <v>239</v>
      </c>
      <c r="J227" s="26"/>
      <c r="K227" s="26"/>
      <c r="L227" s="26"/>
      <c r="M227" s="36"/>
    </row>
    <row r="228" spans="1:13" s="14" customFormat="1">
      <c r="A228" s="13">
        <v>1</v>
      </c>
      <c r="B228" s="17" t="s">
        <v>235</v>
      </c>
      <c r="C228" s="17" t="s">
        <v>321</v>
      </c>
      <c r="D228" s="15">
        <f>'phường Quảng Trị'!E361+'phường Quảng Trị'!E362</f>
        <v>4</v>
      </c>
      <c r="E228" s="15">
        <f>'phường Quảng Trị'!F361+'phường Quảng Trị'!F362</f>
        <v>239</v>
      </c>
      <c r="F228" s="15">
        <f>'phường Quảng Trị'!G361+'phường Quảng Trị'!G362</f>
        <v>0</v>
      </c>
      <c r="G228" s="15">
        <f>'phường Quảng Trị'!H361+'phường Quảng Trị'!H362</f>
        <v>0</v>
      </c>
      <c r="H228" s="15">
        <f>'phường Quảng Trị'!I361+'phường Quảng Trị'!I362</f>
        <v>4</v>
      </c>
      <c r="I228" s="15">
        <f>'phường Quảng Trị'!J361+'phường Quảng Trị'!J362</f>
        <v>239</v>
      </c>
      <c r="J228" s="15"/>
      <c r="K228" s="15"/>
      <c r="L228" s="4" t="s">
        <v>267</v>
      </c>
      <c r="M228" s="36"/>
    </row>
    <row r="229" spans="1:13" s="29" customFormat="1" ht="14.25">
      <c r="A229" s="30" t="s">
        <v>265</v>
      </c>
      <c r="B229" s="95" t="s">
        <v>266</v>
      </c>
      <c r="C229" s="30"/>
      <c r="D229" s="30">
        <f t="shared" ref="D229:I229" si="39">D230+D231</f>
        <v>7</v>
      </c>
      <c r="E229" s="30">
        <f t="shared" si="39"/>
        <v>240</v>
      </c>
      <c r="F229" s="30">
        <f t="shared" si="39"/>
        <v>0</v>
      </c>
      <c r="G229" s="30">
        <f t="shared" si="39"/>
        <v>0</v>
      </c>
      <c r="H229" s="30">
        <f t="shared" si="39"/>
        <v>7</v>
      </c>
      <c r="I229" s="30">
        <f t="shared" si="39"/>
        <v>240</v>
      </c>
      <c r="J229" s="30"/>
      <c r="K229" s="30"/>
      <c r="L229" s="30"/>
      <c r="M229" s="36"/>
    </row>
    <row r="230" spans="1:13" s="14" customFormat="1">
      <c r="A230" s="13">
        <v>1</v>
      </c>
      <c r="B230" s="15" t="s">
        <v>266</v>
      </c>
      <c r="C230" s="15" t="s">
        <v>161</v>
      </c>
      <c r="D230" s="13">
        <f t="shared" ref="D230:E230" si="40">F230+H230+J230</f>
        <v>3</v>
      </c>
      <c r="E230" s="35">
        <f t="shared" si="40"/>
        <v>103</v>
      </c>
      <c r="F230" s="13"/>
      <c r="G230" s="13"/>
      <c r="H230" s="13">
        <v>3</v>
      </c>
      <c r="I230" s="13">
        <f>35+34+34</f>
        <v>103</v>
      </c>
      <c r="J230" s="15"/>
      <c r="K230" s="15"/>
      <c r="L230" s="15"/>
      <c r="M230" s="36"/>
    </row>
    <row r="231" spans="1:13" s="14" customFormat="1">
      <c r="A231" s="13">
        <v>2</v>
      </c>
      <c r="B231" s="15" t="s">
        <v>266</v>
      </c>
      <c r="C231" s="15" t="s">
        <v>188</v>
      </c>
      <c r="D231" s="35">
        <f>'phường Quảng Trị'!E365+'phường Quảng Trị'!E366</f>
        <v>4</v>
      </c>
      <c r="E231" s="35">
        <f>'phường Quảng Trị'!F365+'phường Quảng Trị'!F366</f>
        <v>137</v>
      </c>
      <c r="F231" s="35">
        <f>'phường Quảng Trị'!G365+'phường Quảng Trị'!G366</f>
        <v>0</v>
      </c>
      <c r="G231" s="35">
        <f>'phường Quảng Trị'!H365+'phường Quảng Trị'!H366</f>
        <v>0</v>
      </c>
      <c r="H231" s="35">
        <f>'phường Quảng Trị'!I365+'phường Quảng Trị'!I366</f>
        <v>4</v>
      </c>
      <c r="I231" s="35">
        <f>'phường Quảng Trị'!J365+'phường Quảng Trị'!J366</f>
        <v>137</v>
      </c>
      <c r="J231" s="15"/>
      <c r="K231" s="15"/>
      <c r="L231" s="4" t="s">
        <v>267</v>
      </c>
      <c r="M231" s="36"/>
    </row>
    <row r="232" spans="1:13">
      <c r="D232" s="11"/>
      <c r="E232" s="12"/>
    </row>
    <row r="233" spans="1:13">
      <c r="D233" s="11"/>
      <c r="E233" s="11"/>
    </row>
    <row r="234" spans="1:13">
      <c r="D234" s="11"/>
      <c r="E234" s="11"/>
    </row>
    <row r="235" spans="1:13">
      <c r="D235" s="11"/>
      <c r="E235" s="11"/>
    </row>
    <row r="236" spans="1:13">
      <c r="D236" s="11"/>
      <c r="E236" s="11"/>
    </row>
    <row r="237" spans="1:13">
      <c r="D237" s="11"/>
      <c r="E237" s="11"/>
    </row>
    <row r="238" spans="1:13">
      <c r="D238" s="11"/>
      <c r="E238" s="11"/>
    </row>
    <row r="239" spans="1:13">
      <c r="D239" s="11"/>
      <c r="E239" s="11"/>
    </row>
    <row r="240" spans="1:13">
      <c r="D240" s="11"/>
      <c r="E240" s="11"/>
    </row>
    <row r="241" spans="4:5">
      <c r="D241" s="11"/>
      <c r="E241" s="11"/>
    </row>
    <row r="242" spans="4:5">
      <c r="D242" s="11"/>
      <c r="E242" s="11"/>
    </row>
  </sheetData>
  <mergeCells count="18">
    <mergeCell ref="A1:L2"/>
    <mergeCell ref="A3:A7"/>
    <mergeCell ref="B3:B7"/>
    <mergeCell ref="C3:C7"/>
    <mergeCell ref="D3:E5"/>
    <mergeCell ref="F3:K5"/>
    <mergeCell ref="B220:C220"/>
    <mergeCell ref="L3:L7"/>
    <mergeCell ref="D6:D7"/>
    <mergeCell ref="E6:E7"/>
    <mergeCell ref="F6:F7"/>
    <mergeCell ref="G6:G7"/>
    <mergeCell ref="H6:H7"/>
    <mergeCell ref="I6:I7"/>
    <mergeCell ref="J6:J7"/>
    <mergeCell ref="K6:K7"/>
    <mergeCell ref="B8:C8"/>
    <mergeCell ref="B85:C85"/>
  </mergeCells>
  <pageMargins left="0.42" right="0.16" top="0.23" bottom="0.2" header="0.22" footer="0.2"/>
  <pageSetup paperSize="9" scale="90" orientation="landscape" r:id="rId1"/>
  <rowBreaks count="3" manualBreakCount="3">
    <brk id="164" max="11" man="1"/>
    <brk id="202" max="11" man="1"/>
    <brk id="231" max="16383" man="1"/>
  </rowBreaks>
  <colBreaks count="1" manualBreakCount="1">
    <brk id="12"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77"/>
  <sheetViews>
    <sheetView view="pageBreakPreview" zoomScale="60" zoomScaleNormal="100" workbookViewId="0">
      <selection activeCell="E13" sqref="E13"/>
    </sheetView>
  </sheetViews>
  <sheetFormatPr defaultColWidth="8.875" defaultRowHeight="15"/>
  <cols>
    <col min="1" max="1" width="5.625" style="9" customWidth="1"/>
    <col min="2" max="2" width="14.125" style="9" customWidth="1"/>
    <col min="3" max="3" width="20.125" style="37" customWidth="1"/>
    <col min="4" max="4" width="37" style="37" customWidth="1"/>
    <col min="5" max="5" width="8.875" style="9" customWidth="1"/>
    <col min="6" max="6" width="10.375" style="9" customWidth="1"/>
    <col min="7" max="7" width="8.375" style="9" customWidth="1"/>
    <col min="8" max="11" width="7" style="9" customWidth="1"/>
    <col min="12" max="12" width="7.625" style="9" customWidth="1"/>
    <col min="13" max="13" width="15.25" style="9" customWidth="1"/>
    <col min="14" max="14" width="11.125" style="9" customWidth="1"/>
    <col min="15" max="15" width="8.375" style="9" customWidth="1"/>
    <col min="16" max="16384" width="8.875" style="9"/>
  </cols>
  <sheetData>
    <row r="1" spans="1:22" ht="15" customHeight="1">
      <c r="A1" s="119" t="s">
        <v>364</v>
      </c>
      <c r="B1" s="119"/>
      <c r="C1" s="119"/>
      <c r="D1" s="119"/>
      <c r="E1" s="119"/>
      <c r="F1" s="119"/>
      <c r="G1" s="119"/>
      <c r="H1" s="119"/>
      <c r="I1" s="119"/>
      <c r="J1" s="119"/>
      <c r="K1" s="119"/>
      <c r="L1" s="119"/>
      <c r="M1" s="120"/>
    </row>
    <row r="2" spans="1:22" ht="54.75" customHeight="1">
      <c r="A2" s="121"/>
      <c r="B2" s="121"/>
      <c r="C2" s="121"/>
      <c r="D2" s="121"/>
      <c r="E2" s="121"/>
      <c r="F2" s="121"/>
      <c r="G2" s="121"/>
      <c r="H2" s="121"/>
      <c r="I2" s="121"/>
      <c r="J2" s="121"/>
      <c r="K2" s="121"/>
      <c r="L2" s="121"/>
      <c r="M2" s="122"/>
    </row>
    <row r="3" spans="1:22" ht="15" customHeight="1">
      <c r="A3" s="111" t="s">
        <v>0</v>
      </c>
      <c r="B3" s="123" t="s">
        <v>2</v>
      </c>
      <c r="C3" s="124" t="s">
        <v>281</v>
      </c>
      <c r="D3" s="123" t="s">
        <v>4</v>
      </c>
      <c r="E3" s="123" t="s">
        <v>357</v>
      </c>
      <c r="F3" s="123"/>
      <c r="G3" s="123" t="s">
        <v>5</v>
      </c>
      <c r="H3" s="123"/>
      <c r="I3" s="123"/>
      <c r="J3" s="123"/>
      <c r="K3" s="123"/>
      <c r="L3" s="123"/>
      <c r="M3" s="111" t="s">
        <v>1</v>
      </c>
    </row>
    <row r="4" spans="1:22" ht="26.25" customHeight="1">
      <c r="A4" s="111"/>
      <c r="B4" s="123"/>
      <c r="C4" s="124"/>
      <c r="D4" s="123"/>
      <c r="E4" s="123"/>
      <c r="F4" s="123"/>
      <c r="G4" s="123"/>
      <c r="H4" s="123"/>
      <c r="I4" s="123"/>
      <c r="J4" s="123"/>
      <c r="K4" s="123"/>
      <c r="L4" s="123"/>
      <c r="M4" s="111"/>
      <c r="V4" s="9">
        <f t="shared" ref="V4" si="0">SUM(M337:M340)</f>
        <v>0</v>
      </c>
    </row>
    <row r="5" spans="1:22" ht="30" customHeight="1">
      <c r="A5" s="111"/>
      <c r="B5" s="123"/>
      <c r="C5" s="124"/>
      <c r="D5" s="123"/>
      <c r="E5" s="123"/>
      <c r="F5" s="123"/>
      <c r="G5" s="123"/>
      <c r="H5" s="123"/>
      <c r="I5" s="123"/>
      <c r="J5" s="123"/>
      <c r="K5" s="123"/>
      <c r="L5" s="123"/>
      <c r="M5" s="111"/>
    </row>
    <row r="6" spans="1:22">
      <c r="A6" s="111"/>
      <c r="B6" s="123"/>
      <c r="C6" s="124"/>
      <c r="D6" s="123"/>
      <c r="E6" s="125" t="s">
        <v>6</v>
      </c>
      <c r="F6" s="125" t="s">
        <v>7</v>
      </c>
      <c r="G6" s="125" t="s">
        <v>8</v>
      </c>
      <c r="H6" s="125" t="s">
        <v>9</v>
      </c>
      <c r="I6" s="125" t="s">
        <v>10</v>
      </c>
      <c r="J6" s="125" t="s">
        <v>11</v>
      </c>
      <c r="K6" s="125" t="s">
        <v>12</v>
      </c>
      <c r="L6" s="125" t="s">
        <v>13</v>
      </c>
      <c r="M6" s="111"/>
    </row>
    <row r="7" spans="1:22" ht="61.5" customHeight="1">
      <c r="A7" s="111"/>
      <c r="B7" s="123"/>
      <c r="C7" s="124"/>
      <c r="D7" s="123"/>
      <c r="E7" s="125"/>
      <c r="F7" s="125"/>
      <c r="G7" s="125"/>
      <c r="H7" s="125"/>
      <c r="I7" s="125"/>
      <c r="J7" s="125"/>
      <c r="K7" s="125"/>
      <c r="L7" s="125"/>
      <c r="M7" s="111"/>
    </row>
    <row r="8" spans="1:22" s="11" customFormat="1" ht="19.5" customHeight="1">
      <c r="A8" s="47"/>
      <c r="B8" s="123" t="s">
        <v>14</v>
      </c>
      <c r="C8" s="123"/>
      <c r="D8" s="123"/>
      <c r="E8" s="126">
        <f t="shared" ref="E8:L8" si="1">E9+E126+E215+E283+E331+E349+E352+E357+E360+E363</f>
        <v>2075</v>
      </c>
      <c r="F8" s="126">
        <f t="shared" si="1"/>
        <v>104797</v>
      </c>
      <c r="G8" s="126">
        <f t="shared" si="1"/>
        <v>319</v>
      </c>
      <c r="H8" s="126">
        <f t="shared" si="1"/>
        <v>44828</v>
      </c>
      <c r="I8" s="126">
        <f t="shared" si="1"/>
        <v>1279</v>
      </c>
      <c r="J8" s="126">
        <f t="shared" si="1"/>
        <v>58140</v>
      </c>
      <c r="K8" s="126">
        <f t="shared" si="1"/>
        <v>477</v>
      </c>
      <c r="L8" s="126">
        <f t="shared" si="1"/>
        <v>1829</v>
      </c>
      <c r="M8" s="101"/>
      <c r="N8" s="10"/>
      <c r="O8" s="10"/>
    </row>
    <row r="9" spans="1:22" s="11" customFormat="1" ht="19.5" customHeight="1">
      <c r="A9" s="101" t="s">
        <v>249</v>
      </c>
      <c r="B9" s="123" t="s">
        <v>250</v>
      </c>
      <c r="C9" s="123"/>
      <c r="D9" s="127"/>
      <c r="E9" s="126">
        <f t="shared" ref="E9:L9" si="2">SUM(E10:E125)</f>
        <v>530</v>
      </c>
      <c r="F9" s="126">
        <f t="shared" si="2"/>
        <v>24826</v>
      </c>
      <c r="G9" s="126">
        <f t="shared" si="2"/>
        <v>98</v>
      </c>
      <c r="H9" s="126">
        <f t="shared" si="2"/>
        <v>14539</v>
      </c>
      <c r="I9" s="126">
        <f t="shared" si="2"/>
        <v>268</v>
      </c>
      <c r="J9" s="126">
        <f t="shared" si="2"/>
        <v>9567</v>
      </c>
      <c r="K9" s="126">
        <f t="shared" si="2"/>
        <v>164</v>
      </c>
      <c r="L9" s="126">
        <f t="shared" si="2"/>
        <v>720</v>
      </c>
      <c r="M9" s="101"/>
      <c r="N9" s="10"/>
      <c r="O9" s="10"/>
    </row>
    <row r="10" spans="1:22" s="12" customFormat="1">
      <c r="A10" s="38">
        <v>1</v>
      </c>
      <c r="B10" s="38" t="s">
        <v>23</v>
      </c>
      <c r="C10" s="39" t="s">
        <v>24</v>
      </c>
      <c r="D10" s="39" t="s">
        <v>25</v>
      </c>
      <c r="E10" s="128">
        <f t="shared" ref="E10:F41" si="3">G10+I10+K10</f>
        <v>4</v>
      </c>
      <c r="F10" s="128">
        <f t="shared" si="3"/>
        <v>282</v>
      </c>
      <c r="G10" s="38">
        <v>2</v>
      </c>
      <c r="H10" s="41">
        <f>126+140</f>
        <v>266</v>
      </c>
      <c r="I10" s="38"/>
      <c r="J10" s="41"/>
      <c r="K10" s="38">
        <v>2</v>
      </c>
      <c r="L10" s="41">
        <f>8+8</f>
        <v>16</v>
      </c>
      <c r="M10" s="38"/>
      <c r="N10" s="9"/>
      <c r="O10" s="9"/>
      <c r="P10" s="11"/>
    </row>
    <row r="11" spans="1:22" s="12" customFormat="1">
      <c r="A11" s="38">
        <v>2</v>
      </c>
      <c r="B11" s="38" t="s">
        <v>23</v>
      </c>
      <c r="C11" s="39" t="s">
        <v>24</v>
      </c>
      <c r="D11" s="39" t="s">
        <v>26</v>
      </c>
      <c r="E11" s="128">
        <f t="shared" si="3"/>
        <v>7</v>
      </c>
      <c r="F11" s="128">
        <f t="shared" si="3"/>
        <v>149</v>
      </c>
      <c r="G11" s="38">
        <v>1</v>
      </c>
      <c r="H11" s="41">
        <v>119</v>
      </c>
      <c r="I11" s="38"/>
      <c r="J11" s="41"/>
      <c r="K11" s="38">
        <v>6</v>
      </c>
      <c r="L11" s="41">
        <v>30</v>
      </c>
      <c r="M11" s="38"/>
      <c r="N11" s="42"/>
      <c r="O11" s="9"/>
      <c r="P11" s="11"/>
    </row>
    <row r="12" spans="1:22" s="12" customFormat="1">
      <c r="A12" s="38"/>
      <c r="B12" s="38" t="s">
        <v>73</v>
      </c>
      <c r="C12" s="39" t="s">
        <v>24</v>
      </c>
      <c r="D12" s="39" t="s">
        <v>26</v>
      </c>
      <c r="E12" s="38">
        <f t="shared" si="3"/>
        <v>1</v>
      </c>
      <c r="F12" s="38">
        <f t="shared" si="3"/>
        <v>146</v>
      </c>
      <c r="G12" s="38">
        <v>1</v>
      </c>
      <c r="H12" s="38">
        <v>146</v>
      </c>
      <c r="I12" s="38"/>
      <c r="J12" s="38"/>
      <c r="K12" s="38"/>
      <c r="L12" s="38"/>
      <c r="M12" s="38" t="s">
        <v>274</v>
      </c>
      <c r="N12" s="42"/>
      <c r="O12" s="9"/>
      <c r="P12" s="11"/>
    </row>
    <row r="13" spans="1:22" s="12" customFormat="1">
      <c r="A13" s="38">
        <v>3</v>
      </c>
      <c r="B13" s="38" t="s">
        <v>23</v>
      </c>
      <c r="C13" s="39" t="s">
        <v>24</v>
      </c>
      <c r="D13" s="39" t="s">
        <v>27</v>
      </c>
      <c r="E13" s="128">
        <f t="shared" si="3"/>
        <v>1</v>
      </c>
      <c r="F13" s="128">
        <f t="shared" si="3"/>
        <v>80</v>
      </c>
      <c r="G13" s="38">
        <v>1</v>
      </c>
      <c r="H13" s="41">
        <v>80</v>
      </c>
      <c r="I13" s="38"/>
      <c r="J13" s="41"/>
      <c r="K13" s="38"/>
      <c r="L13" s="41"/>
      <c r="M13" s="38"/>
      <c r="N13" s="9"/>
      <c r="O13" s="9"/>
      <c r="P13" s="11"/>
    </row>
    <row r="14" spans="1:22" s="12" customFormat="1">
      <c r="A14" s="38"/>
      <c r="B14" s="38" t="s">
        <v>42</v>
      </c>
      <c r="C14" s="39" t="s">
        <v>24</v>
      </c>
      <c r="D14" s="39" t="s">
        <v>27</v>
      </c>
      <c r="E14" s="38">
        <f t="shared" si="3"/>
        <v>6</v>
      </c>
      <c r="F14" s="38">
        <f t="shared" si="3"/>
        <v>110</v>
      </c>
      <c r="G14" s="38">
        <v>1</v>
      </c>
      <c r="H14" s="38">
        <v>35</v>
      </c>
      <c r="I14" s="38">
        <v>5</v>
      </c>
      <c r="J14" s="38">
        <v>75</v>
      </c>
      <c r="K14" s="38"/>
      <c r="L14" s="38"/>
      <c r="M14" s="38" t="s">
        <v>274</v>
      </c>
      <c r="N14" s="9"/>
      <c r="O14" s="9"/>
      <c r="P14" s="11"/>
    </row>
    <row r="15" spans="1:22" s="12" customFormat="1">
      <c r="A15" s="38">
        <v>4</v>
      </c>
      <c r="B15" s="43" t="s">
        <v>23</v>
      </c>
      <c r="C15" s="39" t="s">
        <v>24</v>
      </c>
      <c r="D15" s="39" t="s">
        <v>28</v>
      </c>
      <c r="E15" s="128">
        <f t="shared" si="3"/>
        <v>5</v>
      </c>
      <c r="F15" s="128">
        <f t="shared" si="3"/>
        <v>208</v>
      </c>
      <c r="G15" s="38">
        <v>2</v>
      </c>
      <c r="H15" s="41">
        <f>94+84</f>
        <v>178</v>
      </c>
      <c r="I15" s="38">
        <v>3</v>
      </c>
      <c r="J15" s="41">
        <f>10*3</f>
        <v>30</v>
      </c>
      <c r="K15" s="38"/>
      <c r="L15" s="41"/>
      <c r="M15" s="38"/>
      <c r="N15" s="9"/>
      <c r="O15" s="9"/>
      <c r="P15" s="11"/>
    </row>
    <row r="16" spans="1:22" s="12" customFormat="1">
      <c r="A16" s="38">
        <v>5</v>
      </c>
      <c r="B16" s="43" t="s">
        <v>23</v>
      </c>
      <c r="C16" s="39" t="s">
        <v>24</v>
      </c>
      <c r="D16" s="39" t="s">
        <v>29</v>
      </c>
      <c r="E16" s="128">
        <f t="shared" si="3"/>
        <v>10</v>
      </c>
      <c r="F16" s="128">
        <f t="shared" si="3"/>
        <v>235</v>
      </c>
      <c r="G16" s="38">
        <v>1</v>
      </c>
      <c r="H16" s="41">
        <v>190</v>
      </c>
      <c r="I16" s="38"/>
      <c r="J16" s="41"/>
      <c r="K16" s="38">
        <v>9</v>
      </c>
      <c r="L16" s="41">
        <v>45</v>
      </c>
      <c r="M16" s="38"/>
      <c r="N16" s="9"/>
      <c r="O16" s="9"/>
      <c r="P16" s="11"/>
    </row>
    <row r="17" spans="1:17" s="12" customFormat="1">
      <c r="A17" s="38"/>
      <c r="B17" s="129" t="s">
        <v>32</v>
      </c>
      <c r="C17" s="39" t="s">
        <v>24</v>
      </c>
      <c r="D17" s="39" t="s">
        <v>29</v>
      </c>
      <c r="E17" s="128">
        <f t="shared" si="3"/>
        <v>38</v>
      </c>
      <c r="F17" s="128">
        <f t="shared" si="3"/>
        <v>914</v>
      </c>
      <c r="G17" s="38"/>
      <c r="H17" s="38"/>
      <c r="I17" s="38">
        <v>29</v>
      </c>
      <c r="J17" s="38">
        <f>83+82+82+84+44+57+51+53+79+51+66+65+45</f>
        <v>842</v>
      </c>
      <c r="K17" s="38">
        <v>9</v>
      </c>
      <c r="L17" s="38">
        <v>72</v>
      </c>
      <c r="M17" s="38" t="s">
        <v>274</v>
      </c>
      <c r="N17" s="9"/>
      <c r="O17" s="9"/>
      <c r="P17" s="11"/>
    </row>
    <row r="18" spans="1:17" s="12" customFormat="1">
      <c r="A18" s="38"/>
      <c r="B18" s="38" t="s">
        <v>73</v>
      </c>
      <c r="C18" s="39" t="s">
        <v>24</v>
      </c>
      <c r="D18" s="39" t="s">
        <v>29</v>
      </c>
      <c r="E18" s="38">
        <f t="shared" si="3"/>
        <v>5</v>
      </c>
      <c r="F18" s="38">
        <f t="shared" si="3"/>
        <v>122</v>
      </c>
      <c r="G18" s="38"/>
      <c r="H18" s="38"/>
      <c r="I18" s="38">
        <v>5</v>
      </c>
      <c r="J18" s="38">
        <v>122</v>
      </c>
      <c r="K18" s="38"/>
      <c r="L18" s="38"/>
      <c r="M18" s="38" t="s">
        <v>275</v>
      </c>
      <c r="N18" s="9"/>
      <c r="O18" s="9"/>
      <c r="P18" s="11"/>
    </row>
    <row r="19" spans="1:17" s="12" customFormat="1">
      <c r="A19" s="38">
        <v>6</v>
      </c>
      <c r="B19" s="43" t="s">
        <v>23</v>
      </c>
      <c r="C19" s="39" t="s">
        <v>24</v>
      </c>
      <c r="D19" s="39" t="s">
        <v>30</v>
      </c>
      <c r="E19" s="128">
        <f t="shared" si="3"/>
        <v>1</v>
      </c>
      <c r="F19" s="128">
        <f t="shared" si="3"/>
        <v>41</v>
      </c>
      <c r="G19" s="38"/>
      <c r="H19" s="41"/>
      <c r="I19" s="38">
        <v>1</v>
      </c>
      <c r="J19" s="41">
        <v>41</v>
      </c>
      <c r="K19" s="38"/>
      <c r="L19" s="41"/>
      <c r="M19" s="38"/>
      <c r="N19" s="9"/>
      <c r="O19" s="9"/>
      <c r="P19" s="11"/>
    </row>
    <row r="20" spans="1:17" s="14" customFormat="1">
      <c r="A20" s="38"/>
      <c r="B20" s="38" t="s">
        <v>86</v>
      </c>
      <c r="C20" s="39" t="s">
        <v>24</v>
      </c>
      <c r="D20" s="39" t="s">
        <v>30</v>
      </c>
      <c r="E20" s="38">
        <f t="shared" si="3"/>
        <v>1</v>
      </c>
      <c r="F20" s="38">
        <f t="shared" si="3"/>
        <v>43</v>
      </c>
      <c r="G20" s="38"/>
      <c r="H20" s="38"/>
      <c r="I20" s="38">
        <v>1</v>
      </c>
      <c r="J20" s="38">
        <v>43</v>
      </c>
      <c r="K20" s="38"/>
      <c r="L20" s="38"/>
      <c r="M20" s="38" t="s">
        <v>274</v>
      </c>
      <c r="N20" s="11"/>
      <c r="O20" s="11"/>
      <c r="P20" s="11"/>
    </row>
    <row r="21" spans="1:17" s="12" customFormat="1">
      <c r="A21" s="38">
        <v>7</v>
      </c>
      <c r="B21" s="43" t="s">
        <v>23</v>
      </c>
      <c r="C21" s="39" t="s">
        <v>24</v>
      </c>
      <c r="D21" s="39" t="s">
        <v>31</v>
      </c>
      <c r="E21" s="128">
        <f t="shared" si="3"/>
        <v>20</v>
      </c>
      <c r="F21" s="128">
        <f t="shared" si="3"/>
        <v>878</v>
      </c>
      <c r="G21" s="38">
        <v>1</v>
      </c>
      <c r="H21" s="41">
        <v>93</v>
      </c>
      <c r="I21" s="38">
        <v>18</v>
      </c>
      <c r="J21" s="41">
        <f>86+85+84+89+90+88+84+86+87</f>
        <v>779</v>
      </c>
      <c r="K21" s="38">
        <v>1</v>
      </c>
      <c r="L21" s="41">
        <v>6</v>
      </c>
      <c r="M21" s="38"/>
      <c r="N21" s="9"/>
      <c r="O21" s="9"/>
      <c r="P21" s="11"/>
    </row>
    <row r="22" spans="1:17" s="12" customFormat="1">
      <c r="A22" s="38"/>
      <c r="B22" s="38" t="s">
        <v>86</v>
      </c>
      <c r="C22" s="39" t="s">
        <v>24</v>
      </c>
      <c r="D22" s="39" t="s">
        <v>31</v>
      </c>
      <c r="E22" s="38">
        <f t="shared" si="3"/>
        <v>32</v>
      </c>
      <c r="F22" s="38">
        <f t="shared" si="3"/>
        <v>1611</v>
      </c>
      <c r="G22" s="38">
        <v>1</v>
      </c>
      <c r="H22" s="38">
        <v>205</v>
      </c>
      <c r="I22" s="38">
        <v>31</v>
      </c>
      <c r="J22" s="38">
        <f>91+85+91+93+88+93+97+99+93+93+95+82+81+78+73+74</f>
        <v>1406</v>
      </c>
      <c r="K22" s="38"/>
      <c r="L22" s="38"/>
      <c r="M22" s="38" t="s">
        <v>274</v>
      </c>
      <c r="N22" s="9"/>
      <c r="O22" s="9"/>
      <c r="P22" s="11"/>
    </row>
    <row r="23" spans="1:17" s="12" customFormat="1" ht="17.25" customHeight="1">
      <c r="A23" s="38"/>
      <c r="B23" s="43">
        <v>45665</v>
      </c>
      <c r="C23" s="39" t="s">
        <v>24</v>
      </c>
      <c r="D23" s="39" t="s">
        <v>31</v>
      </c>
      <c r="E23" s="38">
        <f t="shared" si="3"/>
        <v>6</v>
      </c>
      <c r="F23" s="38">
        <f t="shared" si="3"/>
        <v>60</v>
      </c>
      <c r="G23" s="38"/>
      <c r="H23" s="38"/>
      <c r="I23" s="38">
        <v>6</v>
      </c>
      <c r="J23" s="38">
        <v>60</v>
      </c>
      <c r="K23" s="38"/>
      <c r="L23" s="38"/>
      <c r="M23" s="38" t="s">
        <v>275</v>
      </c>
      <c r="Q23" s="31"/>
    </row>
    <row r="24" spans="1:17">
      <c r="A24" s="38">
        <v>8</v>
      </c>
      <c r="B24" s="129" t="s">
        <v>32</v>
      </c>
      <c r="C24" s="39" t="s">
        <v>24</v>
      </c>
      <c r="D24" s="39" t="s">
        <v>33</v>
      </c>
      <c r="E24" s="128">
        <f t="shared" si="3"/>
        <v>2</v>
      </c>
      <c r="F24" s="128">
        <f t="shared" si="3"/>
        <v>119</v>
      </c>
      <c r="G24" s="38">
        <v>2</v>
      </c>
      <c r="H24" s="38">
        <f>60+59</f>
        <v>119</v>
      </c>
      <c r="I24" s="38"/>
      <c r="J24" s="38"/>
      <c r="K24" s="38"/>
      <c r="L24" s="130"/>
      <c r="M24" s="38"/>
    </row>
    <row r="25" spans="1:17">
      <c r="A25" s="38"/>
      <c r="B25" s="38" t="s">
        <v>42</v>
      </c>
      <c r="C25" s="39" t="s">
        <v>24</v>
      </c>
      <c r="D25" s="39" t="s">
        <v>33</v>
      </c>
      <c r="E25" s="38">
        <f t="shared" si="3"/>
        <v>5</v>
      </c>
      <c r="F25" s="38">
        <f t="shared" si="3"/>
        <v>162</v>
      </c>
      <c r="G25" s="130"/>
      <c r="H25" s="38"/>
      <c r="I25" s="38">
        <v>3</v>
      </c>
      <c r="J25" s="38">
        <v>150</v>
      </c>
      <c r="K25" s="38">
        <v>2</v>
      </c>
      <c r="L25" s="38">
        <v>12</v>
      </c>
      <c r="M25" s="38" t="s">
        <v>274</v>
      </c>
    </row>
    <row r="26" spans="1:17">
      <c r="A26" s="38"/>
      <c r="B26" s="38" t="s">
        <v>73</v>
      </c>
      <c r="C26" s="39" t="s">
        <v>24</v>
      </c>
      <c r="D26" s="39" t="s">
        <v>33</v>
      </c>
      <c r="E26" s="38">
        <f t="shared" si="3"/>
        <v>1</v>
      </c>
      <c r="F26" s="38">
        <f t="shared" si="3"/>
        <v>85</v>
      </c>
      <c r="G26" s="38"/>
      <c r="H26" s="38"/>
      <c r="I26" s="38">
        <v>1</v>
      </c>
      <c r="J26" s="38">
        <v>85</v>
      </c>
      <c r="K26" s="38"/>
      <c r="L26" s="38"/>
      <c r="M26" s="38" t="s">
        <v>275</v>
      </c>
    </row>
    <row r="27" spans="1:17">
      <c r="A27" s="38">
        <v>9</v>
      </c>
      <c r="B27" s="129" t="s">
        <v>32</v>
      </c>
      <c r="C27" s="39" t="s">
        <v>24</v>
      </c>
      <c r="D27" s="39" t="s">
        <v>34</v>
      </c>
      <c r="E27" s="128">
        <f t="shared" si="3"/>
        <v>13</v>
      </c>
      <c r="F27" s="128">
        <f t="shared" si="3"/>
        <v>130</v>
      </c>
      <c r="G27" s="38"/>
      <c r="H27" s="38"/>
      <c r="I27" s="38">
        <v>13</v>
      </c>
      <c r="J27" s="38">
        <v>130</v>
      </c>
      <c r="K27" s="38"/>
      <c r="L27" s="130"/>
      <c r="M27" s="38"/>
    </row>
    <row r="28" spans="1:17">
      <c r="A28" s="38">
        <v>10</v>
      </c>
      <c r="B28" s="129" t="s">
        <v>32</v>
      </c>
      <c r="C28" s="39" t="s">
        <v>24</v>
      </c>
      <c r="D28" s="39" t="s">
        <v>324</v>
      </c>
      <c r="E28" s="128">
        <f t="shared" si="3"/>
        <v>2</v>
      </c>
      <c r="F28" s="128">
        <f t="shared" si="3"/>
        <v>40</v>
      </c>
      <c r="G28" s="38"/>
      <c r="H28" s="38"/>
      <c r="I28" s="38">
        <v>2</v>
      </c>
      <c r="J28" s="38">
        <v>40</v>
      </c>
      <c r="K28" s="38"/>
      <c r="L28" s="38"/>
      <c r="M28" s="38"/>
    </row>
    <row r="29" spans="1:17">
      <c r="A29" s="38">
        <v>11</v>
      </c>
      <c r="B29" s="129" t="s">
        <v>32</v>
      </c>
      <c r="C29" s="39" t="s">
        <v>24</v>
      </c>
      <c r="D29" s="39" t="s">
        <v>35</v>
      </c>
      <c r="E29" s="128">
        <f t="shared" si="3"/>
        <v>23</v>
      </c>
      <c r="F29" s="128">
        <f t="shared" si="3"/>
        <v>1190</v>
      </c>
      <c r="G29" s="38">
        <v>2</v>
      </c>
      <c r="H29" s="38">
        <f>207+110</f>
        <v>317</v>
      </c>
      <c r="I29" s="38">
        <v>21</v>
      </c>
      <c r="J29" s="38">
        <f>81+83+83+82+82+85+83+84+83+83+44</f>
        <v>873</v>
      </c>
      <c r="K29" s="38"/>
      <c r="L29" s="38"/>
      <c r="M29" s="38"/>
    </row>
    <row r="30" spans="1:17">
      <c r="A30" s="38"/>
      <c r="B30" s="43">
        <v>45665</v>
      </c>
      <c r="C30" s="39" t="s">
        <v>24</v>
      </c>
      <c r="D30" s="39" t="s">
        <v>35</v>
      </c>
      <c r="E30" s="38">
        <f t="shared" si="3"/>
        <v>9</v>
      </c>
      <c r="F30" s="38">
        <f t="shared" si="3"/>
        <v>361</v>
      </c>
      <c r="G30" s="38"/>
      <c r="H30" s="38"/>
      <c r="I30" s="38">
        <v>9</v>
      </c>
      <c r="J30" s="38">
        <f>76+78+80+82+45</f>
        <v>361</v>
      </c>
      <c r="K30" s="38"/>
      <c r="L30" s="38"/>
      <c r="M30" s="38" t="s">
        <v>274</v>
      </c>
    </row>
    <row r="31" spans="1:17">
      <c r="A31" s="38">
        <v>12</v>
      </c>
      <c r="B31" s="129" t="s">
        <v>32</v>
      </c>
      <c r="C31" s="39" t="s">
        <v>24</v>
      </c>
      <c r="D31" s="39" t="s">
        <v>36</v>
      </c>
      <c r="E31" s="128">
        <f t="shared" si="3"/>
        <v>1</v>
      </c>
      <c r="F31" s="128">
        <f t="shared" si="3"/>
        <v>90</v>
      </c>
      <c r="G31" s="38">
        <v>1</v>
      </c>
      <c r="H31" s="38">
        <v>90</v>
      </c>
      <c r="I31" s="38"/>
      <c r="J31" s="38"/>
      <c r="K31" s="38"/>
      <c r="L31" s="38"/>
      <c r="M31" s="38"/>
    </row>
    <row r="32" spans="1:17">
      <c r="A32" s="38"/>
      <c r="B32" s="38" t="s">
        <v>50</v>
      </c>
      <c r="C32" s="39" t="s">
        <v>24</v>
      </c>
      <c r="D32" s="39" t="s">
        <v>36</v>
      </c>
      <c r="E32" s="38">
        <f t="shared" si="3"/>
        <v>1</v>
      </c>
      <c r="F32" s="130">
        <f t="shared" si="3"/>
        <v>87</v>
      </c>
      <c r="G32" s="38">
        <v>1</v>
      </c>
      <c r="H32" s="38">
        <v>87</v>
      </c>
      <c r="I32" s="38"/>
      <c r="J32" s="38"/>
      <c r="K32" s="38"/>
      <c r="L32" s="38"/>
      <c r="M32" s="38" t="s">
        <v>274</v>
      </c>
    </row>
    <row r="33" spans="1:14" s="11" customFormat="1">
      <c r="A33" s="38">
        <v>13</v>
      </c>
      <c r="B33" s="129" t="s">
        <v>32</v>
      </c>
      <c r="C33" s="39" t="s">
        <v>24</v>
      </c>
      <c r="D33" s="39" t="s">
        <v>37</v>
      </c>
      <c r="E33" s="38">
        <f t="shared" si="3"/>
        <v>2</v>
      </c>
      <c r="F33" s="128">
        <f t="shared" si="3"/>
        <v>560</v>
      </c>
      <c r="G33" s="38">
        <v>2</v>
      </c>
      <c r="H33" s="38">
        <f>319+241</f>
        <v>560</v>
      </c>
      <c r="I33" s="38"/>
      <c r="J33" s="38"/>
      <c r="K33" s="38"/>
      <c r="L33" s="38"/>
      <c r="M33" s="38"/>
    </row>
    <row r="34" spans="1:14">
      <c r="A34" s="38"/>
      <c r="B34" s="38" t="s">
        <v>73</v>
      </c>
      <c r="C34" s="39" t="s">
        <v>24</v>
      </c>
      <c r="D34" s="39" t="s">
        <v>37</v>
      </c>
      <c r="E34" s="38">
        <f t="shared" si="3"/>
        <v>12</v>
      </c>
      <c r="F34" s="38">
        <f t="shared" si="3"/>
        <v>477</v>
      </c>
      <c r="G34" s="38">
        <v>2</v>
      </c>
      <c r="H34" s="38">
        <f>284+163</f>
        <v>447</v>
      </c>
      <c r="I34" s="38"/>
      <c r="J34" s="38"/>
      <c r="K34" s="38">
        <v>10</v>
      </c>
      <c r="L34" s="38">
        <v>30</v>
      </c>
      <c r="M34" s="38" t="s">
        <v>274</v>
      </c>
    </row>
    <row r="35" spans="1:14" s="11" customFormat="1">
      <c r="A35" s="38">
        <v>14</v>
      </c>
      <c r="B35" s="129" t="s">
        <v>32</v>
      </c>
      <c r="C35" s="39" t="s">
        <v>24</v>
      </c>
      <c r="D35" s="39" t="s">
        <v>38</v>
      </c>
      <c r="E35" s="38">
        <f t="shared" si="3"/>
        <v>1</v>
      </c>
      <c r="F35" s="128">
        <f t="shared" si="3"/>
        <v>98</v>
      </c>
      <c r="G35" s="38">
        <v>1</v>
      </c>
      <c r="H35" s="38">
        <v>98</v>
      </c>
      <c r="I35" s="38"/>
      <c r="J35" s="38"/>
      <c r="K35" s="38"/>
      <c r="L35" s="38"/>
      <c r="M35" s="38"/>
    </row>
    <row r="36" spans="1:14">
      <c r="A36" s="38">
        <v>15</v>
      </c>
      <c r="B36" s="129" t="s">
        <v>32</v>
      </c>
      <c r="C36" s="39" t="s">
        <v>24</v>
      </c>
      <c r="D36" s="39" t="s">
        <v>39</v>
      </c>
      <c r="E36" s="38">
        <f t="shared" si="3"/>
        <v>3</v>
      </c>
      <c r="F36" s="128">
        <f t="shared" si="3"/>
        <v>272</v>
      </c>
      <c r="G36" s="38">
        <v>2</v>
      </c>
      <c r="H36" s="38">
        <f>105+142</f>
        <v>247</v>
      </c>
      <c r="I36" s="38">
        <v>1</v>
      </c>
      <c r="J36" s="38">
        <v>25</v>
      </c>
      <c r="K36" s="38"/>
      <c r="L36" s="38"/>
      <c r="M36" s="38"/>
    </row>
    <row r="37" spans="1:14">
      <c r="A37" s="38">
        <v>16</v>
      </c>
      <c r="B37" s="129" t="s">
        <v>32</v>
      </c>
      <c r="C37" s="39" t="s">
        <v>24</v>
      </c>
      <c r="D37" s="39" t="s">
        <v>245</v>
      </c>
      <c r="E37" s="38">
        <f t="shared" si="3"/>
        <v>1</v>
      </c>
      <c r="F37" s="128">
        <f t="shared" si="3"/>
        <v>127</v>
      </c>
      <c r="G37" s="38">
        <v>1</v>
      </c>
      <c r="H37" s="38">
        <v>127</v>
      </c>
      <c r="I37" s="38"/>
      <c r="J37" s="38"/>
      <c r="K37" s="38"/>
      <c r="L37" s="38"/>
      <c r="M37" s="38"/>
    </row>
    <row r="38" spans="1:14">
      <c r="A38" s="38">
        <v>17</v>
      </c>
      <c r="B38" s="129" t="s">
        <v>32</v>
      </c>
      <c r="C38" s="39" t="s">
        <v>24</v>
      </c>
      <c r="D38" s="39" t="s">
        <v>325</v>
      </c>
      <c r="E38" s="38">
        <f t="shared" si="3"/>
        <v>1</v>
      </c>
      <c r="F38" s="38">
        <f t="shared" si="3"/>
        <v>269</v>
      </c>
      <c r="G38" s="38">
        <v>1</v>
      </c>
      <c r="H38" s="38">
        <v>269</v>
      </c>
      <c r="I38" s="38"/>
      <c r="J38" s="38"/>
      <c r="K38" s="38"/>
      <c r="L38" s="38"/>
      <c r="M38" s="38"/>
    </row>
    <row r="39" spans="1:14">
      <c r="A39" s="38">
        <v>18</v>
      </c>
      <c r="B39" s="129" t="s">
        <v>32</v>
      </c>
      <c r="C39" s="39" t="s">
        <v>24</v>
      </c>
      <c r="D39" s="39" t="s">
        <v>40</v>
      </c>
      <c r="E39" s="38">
        <f t="shared" si="3"/>
        <v>7</v>
      </c>
      <c r="F39" s="38">
        <f t="shared" si="3"/>
        <v>155</v>
      </c>
      <c r="G39" s="130">
        <v>2</v>
      </c>
      <c r="H39" s="130">
        <f>70+65</f>
        <v>135</v>
      </c>
      <c r="I39" s="130"/>
      <c r="J39" s="130"/>
      <c r="K39" s="130">
        <v>5</v>
      </c>
      <c r="L39" s="130">
        <v>20</v>
      </c>
      <c r="M39" s="38"/>
    </row>
    <row r="40" spans="1:14">
      <c r="A40" s="38"/>
      <c r="B40" s="38" t="s">
        <v>50</v>
      </c>
      <c r="C40" s="39" t="s">
        <v>24</v>
      </c>
      <c r="D40" s="39" t="s">
        <v>40</v>
      </c>
      <c r="E40" s="38">
        <f t="shared" si="3"/>
        <v>7</v>
      </c>
      <c r="F40" s="130">
        <f t="shared" si="3"/>
        <v>28</v>
      </c>
      <c r="G40" s="38"/>
      <c r="H40" s="38"/>
      <c r="I40" s="38"/>
      <c r="J40" s="38"/>
      <c r="K40" s="38">
        <v>7</v>
      </c>
      <c r="L40" s="38">
        <v>28</v>
      </c>
      <c r="M40" s="38" t="s">
        <v>274</v>
      </c>
    </row>
    <row r="41" spans="1:14">
      <c r="A41" s="38">
        <v>19</v>
      </c>
      <c r="B41" s="129" t="s">
        <v>32</v>
      </c>
      <c r="C41" s="39" t="s">
        <v>24</v>
      </c>
      <c r="D41" s="39" t="s">
        <v>41</v>
      </c>
      <c r="E41" s="38">
        <f t="shared" si="3"/>
        <v>5</v>
      </c>
      <c r="F41" s="38">
        <f t="shared" si="3"/>
        <v>134</v>
      </c>
      <c r="G41" s="38">
        <v>1</v>
      </c>
      <c r="H41" s="38">
        <v>130</v>
      </c>
      <c r="I41" s="38"/>
      <c r="J41" s="38"/>
      <c r="K41" s="38">
        <v>4</v>
      </c>
      <c r="L41" s="38">
        <v>4</v>
      </c>
      <c r="M41" s="38"/>
    </row>
    <row r="42" spans="1:14">
      <c r="A42" s="38">
        <v>20</v>
      </c>
      <c r="B42" s="38" t="s">
        <v>42</v>
      </c>
      <c r="C42" s="39" t="s">
        <v>24</v>
      </c>
      <c r="D42" s="39" t="s">
        <v>43</v>
      </c>
      <c r="E42" s="38">
        <f t="shared" ref="E42:F63" si="4">G42+I42+K42</f>
        <v>1</v>
      </c>
      <c r="F42" s="38">
        <f t="shared" si="4"/>
        <v>130</v>
      </c>
      <c r="G42" s="38">
        <v>1</v>
      </c>
      <c r="H42" s="38">
        <v>130</v>
      </c>
      <c r="I42" s="38"/>
      <c r="J42" s="38"/>
      <c r="K42" s="38"/>
      <c r="L42" s="38"/>
      <c r="M42" s="38"/>
    </row>
    <row r="43" spans="1:14" s="11" customFormat="1">
      <c r="A43" s="38">
        <v>21</v>
      </c>
      <c r="B43" s="38" t="s">
        <v>42</v>
      </c>
      <c r="C43" s="39" t="s">
        <v>24</v>
      </c>
      <c r="D43" s="39" t="s">
        <v>44</v>
      </c>
      <c r="E43" s="38">
        <f t="shared" si="4"/>
        <v>1</v>
      </c>
      <c r="F43" s="38">
        <f t="shared" si="4"/>
        <v>60</v>
      </c>
      <c r="G43" s="38">
        <v>1</v>
      </c>
      <c r="H43" s="38">
        <v>60</v>
      </c>
      <c r="I43" s="38"/>
      <c r="J43" s="38"/>
      <c r="K43" s="38"/>
      <c r="L43" s="38"/>
      <c r="M43" s="38"/>
      <c r="N43" s="9"/>
    </row>
    <row r="44" spans="1:14">
      <c r="A44" s="38"/>
      <c r="B44" s="38" t="s">
        <v>73</v>
      </c>
      <c r="C44" s="39" t="s">
        <v>24</v>
      </c>
      <c r="D44" s="39" t="s">
        <v>44</v>
      </c>
      <c r="E44" s="38">
        <f t="shared" si="4"/>
        <v>3</v>
      </c>
      <c r="F44" s="38">
        <f t="shared" si="4"/>
        <v>110</v>
      </c>
      <c r="G44" s="38">
        <v>1</v>
      </c>
      <c r="H44" s="38">
        <v>96</v>
      </c>
      <c r="I44" s="38"/>
      <c r="J44" s="38"/>
      <c r="K44" s="38">
        <v>2</v>
      </c>
      <c r="L44" s="38">
        <v>14</v>
      </c>
      <c r="M44" s="38" t="s">
        <v>274</v>
      </c>
    </row>
    <row r="45" spans="1:14" s="12" customFormat="1">
      <c r="A45" s="38"/>
      <c r="B45" s="38" t="s">
        <v>108</v>
      </c>
      <c r="C45" s="39" t="s">
        <v>24</v>
      </c>
      <c r="D45" s="39" t="s">
        <v>44</v>
      </c>
      <c r="E45" s="38">
        <f t="shared" si="4"/>
        <v>4</v>
      </c>
      <c r="F45" s="38">
        <f t="shared" si="4"/>
        <v>44</v>
      </c>
      <c r="G45" s="38"/>
      <c r="H45" s="38"/>
      <c r="I45" s="38">
        <v>4</v>
      </c>
      <c r="J45" s="38">
        <v>44</v>
      </c>
      <c r="K45" s="38"/>
      <c r="L45" s="38"/>
      <c r="M45" s="38" t="s">
        <v>275</v>
      </c>
    </row>
    <row r="46" spans="1:14">
      <c r="A46" s="38">
        <v>22</v>
      </c>
      <c r="B46" s="38" t="s">
        <v>42</v>
      </c>
      <c r="C46" s="39" t="s">
        <v>24</v>
      </c>
      <c r="D46" s="39" t="s">
        <v>49</v>
      </c>
      <c r="E46" s="128">
        <f t="shared" si="4"/>
        <v>2</v>
      </c>
      <c r="F46" s="128">
        <f t="shared" si="4"/>
        <v>522</v>
      </c>
      <c r="G46" s="38">
        <v>2</v>
      </c>
      <c r="H46" s="41">
        <f>257+265</f>
        <v>522</v>
      </c>
      <c r="I46" s="38"/>
      <c r="J46" s="41"/>
      <c r="K46" s="38"/>
      <c r="L46" s="41"/>
      <c r="M46" s="38"/>
    </row>
    <row r="47" spans="1:14" s="11" customFormat="1">
      <c r="A47" s="38"/>
      <c r="B47" s="38" t="s">
        <v>61</v>
      </c>
      <c r="C47" s="39" t="s">
        <v>24</v>
      </c>
      <c r="D47" s="39" t="s">
        <v>49</v>
      </c>
      <c r="E47" s="38">
        <f t="shared" si="4"/>
        <v>28</v>
      </c>
      <c r="F47" s="38">
        <f t="shared" si="4"/>
        <v>106</v>
      </c>
      <c r="G47" s="38"/>
      <c r="H47" s="38"/>
      <c r="I47" s="38"/>
      <c r="J47" s="38"/>
      <c r="K47" s="38">
        <v>28</v>
      </c>
      <c r="L47" s="38">
        <v>106</v>
      </c>
      <c r="M47" s="38" t="s">
        <v>274</v>
      </c>
      <c r="N47" s="9"/>
    </row>
    <row r="48" spans="1:14">
      <c r="A48" s="38">
        <v>23</v>
      </c>
      <c r="B48" s="38" t="s">
        <v>50</v>
      </c>
      <c r="C48" s="39" t="s">
        <v>24</v>
      </c>
      <c r="D48" s="39" t="s">
        <v>322</v>
      </c>
      <c r="E48" s="38">
        <f t="shared" si="4"/>
        <v>11</v>
      </c>
      <c r="F48" s="130">
        <f t="shared" si="4"/>
        <v>248</v>
      </c>
      <c r="G48" s="38">
        <v>1</v>
      </c>
      <c r="H48" s="38">
        <v>50</v>
      </c>
      <c r="I48" s="38">
        <v>10</v>
      </c>
      <c r="J48" s="38">
        <f>39+40+39+41+39</f>
        <v>198</v>
      </c>
      <c r="K48" s="38"/>
      <c r="L48" s="38"/>
      <c r="M48" s="38"/>
    </row>
    <row r="49" spans="1:14">
      <c r="A49" s="38">
        <v>24</v>
      </c>
      <c r="B49" s="38" t="s">
        <v>50</v>
      </c>
      <c r="C49" s="39" t="s">
        <v>24</v>
      </c>
      <c r="D49" s="39" t="s">
        <v>51</v>
      </c>
      <c r="E49" s="38">
        <f t="shared" si="4"/>
        <v>2</v>
      </c>
      <c r="F49" s="130">
        <f t="shared" si="4"/>
        <v>106</v>
      </c>
      <c r="G49" s="38">
        <v>1</v>
      </c>
      <c r="H49" s="38">
        <v>56</v>
      </c>
      <c r="I49" s="38">
        <v>1</v>
      </c>
      <c r="J49" s="38">
        <v>50</v>
      </c>
      <c r="K49" s="38"/>
      <c r="L49" s="38"/>
      <c r="M49" s="38"/>
    </row>
    <row r="50" spans="1:14">
      <c r="A50" s="38">
        <v>25</v>
      </c>
      <c r="B50" s="38" t="s">
        <v>50</v>
      </c>
      <c r="C50" s="39" t="s">
        <v>24</v>
      </c>
      <c r="D50" s="39" t="s">
        <v>52</v>
      </c>
      <c r="E50" s="38">
        <f t="shared" si="4"/>
        <v>3</v>
      </c>
      <c r="F50" s="130">
        <f t="shared" si="4"/>
        <v>185</v>
      </c>
      <c r="G50" s="38">
        <f>3</f>
        <v>3</v>
      </c>
      <c r="H50" s="38">
        <f>62+60+63</f>
        <v>185</v>
      </c>
      <c r="I50" s="38"/>
      <c r="J50" s="38"/>
      <c r="K50" s="38"/>
      <c r="L50" s="38"/>
      <c r="M50" s="38"/>
    </row>
    <row r="51" spans="1:14">
      <c r="A51" s="38">
        <v>26</v>
      </c>
      <c r="B51" s="38" t="s">
        <v>50</v>
      </c>
      <c r="C51" s="39" t="s">
        <v>24</v>
      </c>
      <c r="D51" s="39" t="s">
        <v>53</v>
      </c>
      <c r="E51" s="38">
        <f t="shared" si="4"/>
        <v>11</v>
      </c>
      <c r="F51" s="130">
        <f t="shared" si="4"/>
        <v>195</v>
      </c>
      <c r="G51" s="38">
        <v>1</v>
      </c>
      <c r="H51" s="38">
        <v>155</v>
      </c>
      <c r="I51" s="38"/>
      <c r="J51" s="38"/>
      <c r="K51" s="38">
        <v>10</v>
      </c>
      <c r="L51" s="38">
        <v>40</v>
      </c>
      <c r="M51" s="38"/>
    </row>
    <row r="52" spans="1:14">
      <c r="A52" s="38">
        <v>27</v>
      </c>
      <c r="B52" s="38" t="s">
        <v>50</v>
      </c>
      <c r="C52" s="39" t="s">
        <v>24</v>
      </c>
      <c r="D52" s="39" t="s">
        <v>54</v>
      </c>
      <c r="E52" s="38">
        <f t="shared" si="4"/>
        <v>6</v>
      </c>
      <c r="F52" s="130">
        <f t="shared" si="4"/>
        <v>714</v>
      </c>
      <c r="G52" s="38">
        <v>2</v>
      </c>
      <c r="H52" s="38">
        <f>340+330</f>
        <v>670</v>
      </c>
      <c r="I52" s="38">
        <v>1</v>
      </c>
      <c r="J52" s="38">
        <v>35</v>
      </c>
      <c r="K52" s="38">
        <v>3</v>
      </c>
      <c r="L52" s="38">
        <v>9</v>
      </c>
      <c r="M52" s="38"/>
    </row>
    <row r="53" spans="1:14">
      <c r="A53" s="38">
        <v>28</v>
      </c>
      <c r="B53" s="38" t="s">
        <v>50</v>
      </c>
      <c r="C53" s="39" t="s">
        <v>24</v>
      </c>
      <c r="D53" s="39" t="s">
        <v>135</v>
      </c>
      <c r="E53" s="38">
        <f t="shared" si="4"/>
        <v>1</v>
      </c>
      <c r="F53" s="130">
        <f t="shared" si="4"/>
        <v>221</v>
      </c>
      <c r="G53" s="38">
        <v>1</v>
      </c>
      <c r="H53" s="38">
        <v>221</v>
      </c>
      <c r="I53" s="38"/>
      <c r="J53" s="38"/>
      <c r="K53" s="38"/>
      <c r="L53" s="38"/>
      <c r="M53" s="38"/>
    </row>
    <row r="54" spans="1:14">
      <c r="A54" s="38"/>
      <c r="B54" s="43">
        <v>45665</v>
      </c>
      <c r="C54" s="39" t="s">
        <v>24</v>
      </c>
      <c r="D54" s="39" t="s">
        <v>135</v>
      </c>
      <c r="E54" s="38">
        <f t="shared" si="4"/>
        <v>8</v>
      </c>
      <c r="F54" s="38">
        <f t="shared" si="4"/>
        <v>240</v>
      </c>
      <c r="G54" s="38">
        <v>1</v>
      </c>
      <c r="H54" s="38">
        <v>184</v>
      </c>
      <c r="I54" s="38"/>
      <c r="J54" s="38"/>
      <c r="K54" s="38">
        <v>7</v>
      </c>
      <c r="L54" s="38">
        <v>56</v>
      </c>
      <c r="M54" s="38" t="s">
        <v>274</v>
      </c>
    </row>
    <row r="55" spans="1:14">
      <c r="A55" s="38">
        <v>29</v>
      </c>
      <c r="B55" s="38" t="s">
        <v>50</v>
      </c>
      <c r="C55" s="39" t="s">
        <v>24</v>
      </c>
      <c r="D55" s="39" t="s">
        <v>326</v>
      </c>
      <c r="E55" s="38">
        <f t="shared" si="4"/>
        <v>1</v>
      </c>
      <c r="F55" s="130">
        <f t="shared" si="4"/>
        <v>121</v>
      </c>
      <c r="G55" s="38">
        <v>1</v>
      </c>
      <c r="H55" s="38">
        <v>121</v>
      </c>
      <c r="I55" s="38"/>
      <c r="J55" s="38"/>
      <c r="K55" s="38"/>
      <c r="L55" s="38"/>
      <c r="M55" s="38"/>
    </row>
    <row r="56" spans="1:14">
      <c r="A56" s="38">
        <v>30</v>
      </c>
      <c r="B56" s="38" t="s">
        <v>50</v>
      </c>
      <c r="C56" s="39" t="s">
        <v>24</v>
      </c>
      <c r="D56" s="39" t="s">
        <v>55</v>
      </c>
      <c r="E56" s="38">
        <f t="shared" si="4"/>
        <v>10</v>
      </c>
      <c r="F56" s="130">
        <f t="shared" si="4"/>
        <v>80</v>
      </c>
      <c r="G56" s="38"/>
      <c r="H56" s="38"/>
      <c r="I56" s="38"/>
      <c r="J56" s="38"/>
      <c r="K56" s="38">
        <v>10</v>
      </c>
      <c r="L56" s="38">
        <v>80</v>
      </c>
      <c r="M56" s="38"/>
    </row>
    <row r="57" spans="1:14">
      <c r="A57" s="38"/>
      <c r="B57" s="38" t="s">
        <v>108</v>
      </c>
      <c r="C57" s="39" t="s">
        <v>24</v>
      </c>
      <c r="D57" s="39" t="s">
        <v>55</v>
      </c>
      <c r="E57" s="38">
        <f t="shared" si="4"/>
        <v>1</v>
      </c>
      <c r="F57" s="38">
        <f t="shared" si="4"/>
        <v>121</v>
      </c>
      <c r="G57" s="38">
        <v>1</v>
      </c>
      <c r="H57" s="38">
        <v>121</v>
      </c>
      <c r="I57" s="38"/>
      <c r="J57" s="38"/>
      <c r="K57" s="38"/>
      <c r="L57" s="38"/>
      <c r="M57" s="38" t="s">
        <v>274</v>
      </c>
    </row>
    <row r="58" spans="1:14">
      <c r="A58" s="38">
        <v>31</v>
      </c>
      <c r="B58" s="38" t="s">
        <v>50</v>
      </c>
      <c r="C58" s="39" t="s">
        <v>24</v>
      </c>
      <c r="D58" s="39" t="s">
        <v>56</v>
      </c>
      <c r="E58" s="38">
        <f t="shared" si="4"/>
        <v>1</v>
      </c>
      <c r="F58" s="130">
        <f t="shared" si="4"/>
        <v>248</v>
      </c>
      <c r="G58" s="38">
        <v>1</v>
      </c>
      <c r="H58" s="38">
        <v>248</v>
      </c>
      <c r="I58" s="38"/>
      <c r="J58" s="38"/>
      <c r="K58" s="38"/>
      <c r="L58" s="38"/>
      <c r="M58" s="38"/>
    </row>
    <row r="59" spans="1:14">
      <c r="A59" s="38"/>
      <c r="B59" s="38" t="s">
        <v>73</v>
      </c>
      <c r="C59" s="39" t="s">
        <v>24</v>
      </c>
      <c r="D59" s="39" t="s">
        <v>56</v>
      </c>
      <c r="E59" s="38">
        <f t="shared" si="4"/>
        <v>14</v>
      </c>
      <c r="F59" s="38">
        <f t="shared" si="4"/>
        <v>450</v>
      </c>
      <c r="G59" s="38">
        <v>2</v>
      </c>
      <c r="H59" s="38">
        <f>285+129</f>
        <v>414</v>
      </c>
      <c r="I59" s="38"/>
      <c r="J59" s="38"/>
      <c r="K59" s="38">
        <v>12</v>
      </c>
      <c r="L59" s="38">
        <v>36</v>
      </c>
      <c r="M59" s="38" t="s">
        <v>274</v>
      </c>
    </row>
    <row r="60" spans="1:14">
      <c r="A60" s="38"/>
      <c r="B60" s="38" t="s">
        <v>95</v>
      </c>
      <c r="C60" s="39" t="s">
        <v>24</v>
      </c>
      <c r="D60" s="39" t="s">
        <v>56</v>
      </c>
      <c r="E60" s="38">
        <f t="shared" si="4"/>
        <v>2</v>
      </c>
      <c r="F60" s="38">
        <f t="shared" si="4"/>
        <v>411</v>
      </c>
      <c r="G60" s="38">
        <v>2</v>
      </c>
      <c r="H60" s="38">
        <f>287+124</f>
        <v>411</v>
      </c>
      <c r="I60" s="38"/>
      <c r="J60" s="38"/>
      <c r="K60" s="38"/>
      <c r="L60" s="38"/>
      <c r="M60" s="38" t="s">
        <v>275</v>
      </c>
    </row>
    <row r="61" spans="1:14">
      <c r="A61" s="38">
        <v>32</v>
      </c>
      <c r="B61" s="38" t="s">
        <v>61</v>
      </c>
      <c r="C61" s="39" t="s">
        <v>24</v>
      </c>
      <c r="D61" s="39" t="s">
        <v>63</v>
      </c>
      <c r="E61" s="38">
        <f t="shared" si="4"/>
        <v>4</v>
      </c>
      <c r="F61" s="38">
        <f t="shared" si="4"/>
        <v>422</v>
      </c>
      <c r="G61" s="38">
        <f>2</f>
        <v>2</v>
      </c>
      <c r="H61" s="38">
        <f>151+179</f>
        <v>330</v>
      </c>
      <c r="I61" s="38">
        <v>2</v>
      </c>
      <c r="J61" s="38">
        <f>51+41</f>
        <v>92</v>
      </c>
      <c r="K61" s="38"/>
      <c r="L61" s="38"/>
      <c r="M61" s="38"/>
    </row>
    <row r="62" spans="1:14" s="11" customFormat="1">
      <c r="A62" s="38">
        <v>33</v>
      </c>
      <c r="B62" s="38" t="s">
        <v>61</v>
      </c>
      <c r="C62" s="39" t="s">
        <v>24</v>
      </c>
      <c r="D62" s="39" t="s">
        <v>64</v>
      </c>
      <c r="E62" s="38">
        <f t="shared" si="4"/>
        <v>2</v>
      </c>
      <c r="F62" s="38">
        <f t="shared" si="4"/>
        <v>89</v>
      </c>
      <c r="G62" s="38"/>
      <c r="H62" s="38"/>
      <c r="I62" s="38">
        <v>2</v>
      </c>
      <c r="J62" s="38">
        <f>48+41</f>
        <v>89</v>
      </c>
      <c r="K62" s="38"/>
      <c r="L62" s="38"/>
      <c r="M62" s="38"/>
      <c r="N62" s="9"/>
    </row>
    <row r="63" spans="1:14">
      <c r="A63" s="38">
        <v>34</v>
      </c>
      <c r="B63" s="38" t="s">
        <v>61</v>
      </c>
      <c r="C63" s="39" t="s">
        <v>24</v>
      </c>
      <c r="D63" s="39" t="s">
        <v>65</v>
      </c>
      <c r="E63" s="38">
        <f t="shared" si="4"/>
        <v>2</v>
      </c>
      <c r="F63" s="38">
        <f t="shared" si="4"/>
        <v>281</v>
      </c>
      <c r="G63" s="38">
        <v>1</v>
      </c>
      <c r="H63" s="38">
        <v>274</v>
      </c>
      <c r="I63" s="38"/>
      <c r="J63" s="38"/>
      <c r="K63" s="38">
        <v>1</v>
      </c>
      <c r="L63" s="38">
        <v>7</v>
      </c>
      <c r="M63" s="38"/>
    </row>
    <row r="64" spans="1:14">
      <c r="A64" s="38"/>
      <c r="B64" s="43">
        <v>45696</v>
      </c>
      <c r="C64" s="39" t="s">
        <v>24</v>
      </c>
      <c r="D64" s="39" t="s">
        <v>65</v>
      </c>
      <c r="E64" s="38">
        <f>G64+I64+K64</f>
        <v>2</v>
      </c>
      <c r="F64" s="38">
        <f>H64+J64+L64</f>
        <v>318</v>
      </c>
      <c r="G64" s="38">
        <v>2</v>
      </c>
      <c r="H64" s="38">
        <f>172+146</f>
        <v>318</v>
      </c>
      <c r="I64" s="38"/>
      <c r="J64" s="38"/>
      <c r="K64" s="38"/>
      <c r="L64" s="38"/>
      <c r="M64" s="38" t="s">
        <v>274</v>
      </c>
    </row>
    <row r="65" spans="1:14">
      <c r="A65" s="38">
        <v>35</v>
      </c>
      <c r="B65" s="38" t="s">
        <v>61</v>
      </c>
      <c r="C65" s="39" t="s">
        <v>24</v>
      </c>
      <c r="D65" s="39" t="s">
        <v>66</v>
      </c>
      <c r="E65" s="38">
        <f t="shared" ref="E65:F68" si="5">G65+I65+K65</f>
        <v>2</v>
      </c>
      <c r="F65" s="38">
        <f t="shared" si="5"/>
        <v>520</v>
      </c>
      <c r="G65" s="38">
        <v>2</v>
      </c>
      <c r="H65" s="38">
        <f>199+321</f>
        <v>520</v>
      </c>
      <c r="I65" s="38"/>
      <c r="J65" s="38"/>
      <c r="K65" s="38"/>
      <c r="L65" s="38"/>
      <c r="M65" s="38"/>
    </row>
    <row r="66" spans="1:14" s="11" customFormat="1">
      <c r="A66" s="38"/>
      <c r="B66" s="43">
        <v>45816</v>
      </c>
      <c r="C66" s="39" t="s">
        <v>24</v>
      </c>
      <c r="D66" s="39" t="s">
        <v>66</v>
      </c>
      <c r="E66" s="38">
        <f>G66+I66+K66</f>
        <v>2</v>
      </c>
      <c r="F66" s="38">
        <f>H66+J66+L66</f>
        <v>123</v>
      </c>
      <c r="G66" s="38"/>
      <c r="H66" s="38"/>
      <c r="I66" s="38">
        <v>2</v>
      </c>
      <c r="J66" s="38">
        <f>59+64</f>
        <v>123</v>
      </c>
      <c r="K66" s="38"/>
      <c r="L66" s="38"/>
      <c r="M66" s="38" t="s">
        <v>274</v>
      </c>
      <c r="N66" s="9"/>
    </row>
    <row r="67" spans="1:14">
      <c r="A67" s="38">
        <v>36</v>
      </c>
      <c r="B67" s="38" t="s">
        <v>61</v>
      </c>
      <c r="C67" s="39" t="s">
        <v>24</v>
      </c>
      <c r="D67" s="39" t="s">
        <v>67</v>
      </c>
      <c r="E67" s="38">
        <f t="shared" si="5"/>
        <v>3</v>
      </c>
      <c r="F67" s="38">
        <f t="shared" si="5"/>
        <v>416</v>
      </c>
      <c r="G67" s="38">
        <v>3</v>
      </c>
      <c r="H67" s="38">
        <f>265+75+76</f>
        <v>416</v>
      </c>
      <c r="I67" s="38"/>
      <c r="J67" s="38"/>
      <c r="K67" s="38"/>
      <c r="L67" s="38"/>
      <c r="M67" s="38"/>
    </row>
    <row r="68" spans="1:14">
      <c r="A68" s="38"/>
      <c r="B68" s="38" t="s">
        <v>95</v>
      </c>
      <c r="C68" s="39" t="s">
        <v>24</v>
      </c>
      <c r="D68" s="39" t="s">
        <v>67</v>
      </c>
      <c r="E68" s="38">
        <f t="shared" si="5"/>
        <v>1</v>
      </c>
      <c r="F68" s="38">
        <f t="shared" si="5"/>
        <v>83</v>
      </c>
      <c r="G68" s="38">
        <v>1</v>
      </c>
      <c r="H68" s="38">
        <v>83</v>
      </c>
      <c r="I68" s="38"/>
      <c r="J68" s="38"/>
      <c r="K68" s="38"/>
      <c r="L68" s="38"/>
      <c r="M68" s="38" t="s">
        <v>274</v>
      </c>
    </row>
    <row r="69" spans="1:14">
      <c r="A69" s="38"/>
      <c r="B69" s="43">
        <v>45816</v>
      </c>
      <c r="C69" s="39" t="s">
        <v>24</v>
      </c>
      <c r="D69" s="39" t="s">
        <v>67</v>
      </c>
      <c r="E69" s="38">
        <f>G69+I69+K69</f>
        <v>2</v>
      </c>
      <c r="F69" s="38">
        <f>H69+J69+L69</f>
        <v>140</v>
      </c>
      <c r="G69" s="38">
        <v>2</v>
      </c>
      <c r="H69" s="38">
        <f>65+75</f>
        <v>140</v>
      </c>
      <c r="I69" s="38"/>
      <c r="J69" s="38"/>
      <c r="K69" s="38"/>
      <c r="L69" s="38"/>
      <c r="M69" s="38" t="s">
        <v>275</v>
      </c>
    </row>
    <row r="70" spans="1:14">
      <c r="A70" s="38"/>
      <c r="B70" s="38" t="s">
        <v>201</v>
      </c>
      <c r="C70" s="39" t="s">
        <v>24</v>
      </c>
      <c r="D70" s="39" t="s">
        <v>67</v>
      </c>
      <c r="E70" s="38">
        <f>G70+I70+K70</f>
        <v>8</v>
      </c>
      <c r="F70" s="38">
        <f>H70+J70+L70</f>
        <v>69</v>
      </c>
      <c r="G70" s="38"/>
      <c r="H70" s="38"/>
      <c r="I70" s="38">
        <v>8</v>
      </c>
      <c r="J70" s="38">
        <f>16+21+18+14</f>
        <v>69</v>
      </c>
      <c r="K70" s="38"/>
      <c r="L70" s="38"/>
      <c r="M70" s="38" t="s">
        <v>276</v>
      </c>
    </row>
    <row r="71" spans="1:14">
      <c r="A71" s="38">
        <v>37</v>
      </c>
      <c r="B71" s="38" t="s">
        <v>73</v>
      </c>
      <c r="C71" s="39" t="s">
        <v>24</v>
      </c>
      <c r="D71" s="39" t="s">
        <v>74</v>
      </c>
      <c r="E71" s="38">
        <f t="shared" ref="E71:F86" si="6">G71+I71+K71</f>
        <v>2</v>
      </c>
      <c r="F71" s="38">
        <f t="shared" si="6"/>
        <v>89</v>
      </c>
      <c r="G71" s="38"/>
      <c r="H71" s="38"/>
      <c r="I71" s="38">
        <v>2</v>
      </c>
      <c r="J71" s="38">
        <v>89</v>
      </c>
      <c r="K71" s="38"/>
      <c r="L71" s="38"/>
      <c r="M71" s="38"/>
    </row>
    <row r="72" spans="1:14" s="11" customFormat="1">
      <c r="A72" s="38">
        <v>38</v>
      </c>
      <c r="B72" s="38" t="s">
        <v>73</v>
      </c>
      <c r="C72" s="39" t="s">
        <v>24</v>
      </c>
      <c r="D72" s="39" t="s">
        <v>75</v>
      </c>
      <c r="E72" s="38">
        <f t="shared" si="6"/>
        <v>3</v>
      </c>
      <c r="F72" s="38">
        <f t="shared" si="6"/>
        <v>127</v>
      </c>
      <c r="G72" s="38"/>
      <c r="H72" s="38"/>
      <c r="I72" s="38">
        <v>3</v>
      </c>
      <c r="J72" s="38">
        <v>127</v>
      </c>
      <c r="K72" s="38"/>
      <c r="L72" s="38"/>
      <c r="M72" s="38"/>
      <c r="N72" s="9"/>
    </row>
    <row r="73" spans="1:14">
      <c r="A73" s="38">
        <v>39</v>
      </c>
      <c r="B73" s="38" t="s">
        <v>73</v>
      </c>
      <c r="C73" s="39" t="s">
        <v>24</v>
      </c>
      <c r="D73" s="39" t="s">
        <v>76</v>
      </c>
      <c r="E73" s="38">
        <f t="shared" si="6"/>
        <v>1</v>
      </c>
      <c r="F73" s="38">
        <f t="shared" si="6"/>
        <v>31</v>
      </c>
      <c r="G73" s="38"/>
      <c r="H73" s="38"/>
      <c r="I73" s="38">
        <v>1</v>
      </c>
      <c r="J73" s="38">
        <v>31</v>
      </c>
      <c r="K73" s="38"/>
      <c r="L73" s="38"/>
      <c r="M73" s="38"/>
    </row>
    <row r="74" spans="1:14" s="11" customFormat="1">
      <c r="A74" s="38"/>
      <c r="B74" s="43">
        <v>45665</v>
      </c>
      <c r="C74" s="39" t="s">
        <v>24</v>
      </c>
      <c r="D74" s="39" t="s">
        <v>133</v>
      </c>
      <c r="E74" s="38">
        <f t="shared" si="6"/>
        <v>1</v>
      </c>
      <c r="F74" s="38">
        <f t="shared" si="6"/>
        <v>32</v>
      </c>
      <c r="G74" s="38"/>
      <c r="H74" s="38"/>
      <c r="I74" s="38">
        <v>1</v>
      </c>
      <c r="J74" s="38">
        <v>32</v>
      </c>
      <c r="K74" s="38"/>
      <c r="L74" s="38"/>
      <c r="M74" s="38" t="s">
        <v>274</v>
      </c>
      <c r="N74" s="9"/>
    </row>
    <row r="75" spans="1:14">
      <c r="A75" s="38">
        <v>40</v>
      </c>
      <c r="B75" s="38" t="s">
        <v>73</v>
      </c>
      <c r="C75" s="39" t="s">
        <v>24</v>
      </c>
      <c r="D75" s="39" t="s">
        <v>77</v>
      </c>
      <c r="E75" s="38">
        <f t="shared" si="6"/>
        <v>1</v>
      </c>
      <c r="F75" s="38">
        <f t="shared" si="6"/>
        <v>189</v>
      </c>
      <c r="G75" s="38">
        <v>1</v>
      </c>
      <c r="H75" s="38">
        <v>189</v>
      </c>
      <c r="I75" s="38"/>
      <c r="J75" s="38"/>
      <c r="K75" s="38"/>
      <c r="L75" s="38"/>
      <c r="M75" s="38"/>
    </row>
    <row r="76" spans="1:14" s="11" customFormat="1">
      <c r="A76" s="38"/>
      <c r="B76" s="43">
        <v>45724</v>
      </c>
      <c r="C76" s="39" t="s">
        <v>24</v>
      </c>
      <c r="D76" s="39" t="s">
        <v>77</v>
      </c>
      <c r="E76" s="38">
        <f>G76+I76+K76</f>
        <v>1</v>
      </c>
      <c r="F76" s="38">
        <f>H76+J76+L76</f>
        <v>112</v>
      </c>
      <c r="G76" s="38">
        <v>1</v>
      </c>
      <c r="H76" s="38">
        <v>112</v>
      </c>
      <c r="I76" s="38"/>
      <c r="J76" s="38"/>
      <c r="K76" s="38"/>
      <c r="L76" s="38"/>
      <c r="M76" s="38" t="s">
        <v>274</v>
      </c>
      <c r="N76" s="9"/>
    </row>
    <row r="77" spans="1:14">
      <c r="A77" s="38">
        <v>41</v>
      </c>
      <c r="B77" s="38" t="s">
        <v>73</v>
      </c>
      <c r="C77" s="39" t="s">
        <v>24</v>
      </c>
      <c r="D77" s="39" t="s">
        <v>78</v>
      </c>
      <c r="E77" s="38">
        <f t="shared" si="6"/>
        <v>2</v>
      </c>
      <c r="F77" s="38">
        <f t="shared" si="6"/>
        <v>133</v>
      </c>
      <c r="G77" s="38">
        <v>1</v>
      </c>
      <c r="H77" s="38">
        <v>113</v>
      </c>
      <c r="I77" s="38">
        <v>1</v>
      </c>
      <c r="J77" s="38">
        <v>20</v>
      </c>
      <c r="K77" s="38"/>
      <c r="L77" s="38"/>
      <c r="M77" s="38"/>
    </row>
    <row r="78" spans="1:14" s="11" customFormat="1">
      <c r="A78" s="38"/>
      <c r="B78" s="43">
        <v>45665</v>
      </c>
      <c r="C78" s="39" t="s">
        <v>24</v>
      </c>
      <c r="D78" s="39" t="s">
        <v>78</v>
      </c>
      <c r="E78" s="38">
        <f t="shared" si="6"/>
        <v>2</v>
      </c>
      <c r="F78" s="38">
        <f t="shared" si="6"/>
        <v>60</v>
      </c>
      <c r="G78" s="38"/>
      <c r="H78" s="38"/>
      <c r="I78" s="38">
        <v>2</v>
      </c>
      <c r="J78" s="38">
        <f>32+28</f>
        <v>60</v>
      </c>
      <c r="K78" s="38"/>
      <c r="L78" s="38"/>
      <c r="M78" s="38" t="s">
        <v>274</v>
      </c>
      <c r="N78" s="9"/>
    </row>
    <row r="79" spans="1:14" s="11" customFormat="1">
      <c r="A79" s="38">
        <v>42</v>
      </c>
      <c r="B79" s="38" t="s">
        <v>73</v>
      </c>
      <c r="C79" s="39" t="s">
        <v>24</v>
      </c>
      <c r="D79" s="39" t="s">
        <v>79</v>
      </c>
      <c r="E79" s="38">
        <f t="shared" si="6"/>
        <v>1</v>
      </c>
      <c r="F79" s="38">
        <f t="shared" si="6"/>
        <v>30</v>
      </c>
      <c r="G79" s="38"/>
      <c r="H79" s="38"/>
      <c r="I79" s="38">
        <v>1</v>
      </c>
      <c r="J79" s="38">
        <v>30</v>
      </c>
      <c r="K79" s="38"/>
      <c r="L79" s="38"/>
      <c r="M79" s="38"/>
      <c r="N79" s="9"/>
    </row>
    <row r="80" spans="1:14">
      <c r="A80" s="38"/>
      <c r="B80" s="43">
        <v>45665</v>
      </c>
      <c r="C80" s="39" t="s">
        <v>24</v>
      </c>
      <c r="D80" s="39" t="s">
        <v>79</v>
      </c>
      <c r="E80" s="38">
        <f t="shared" si="6"/>
        <v>1</v>
      </c>
      <c r="F80" s="38">
        <f t="shared" si="6"/>
        <v>30</v>
      </c>
      <c r="G80" s="38"/>
      <c r="H80" s="38"/>
      <c r="I80" s="38">
        <v>1</v>
      </c>
      <c r="J80" s="38">
        <v>30</v>
      </c>
      <c r="K80" s="38"/>
      <c r="L80" s="38"/>
      <c r="M80" s="38" t="s">
        <v>274</v>
      </c>
    </row>
    <row r="81" spans="1:14" s="11" customFormat="1">
      <c r="A81" s="38">
        <v>43</v>
      </c>
      <c r="B81" s="38" t="s">
        <v>61</v>
      </c>
      <c r="C81" s="39" t="s">
        <v>24</v>
      </c>
      <c r="D81" s="39" t="s">
        <v>68</v>
      </c>
      <c r="E81" s="38">
        <f t="shared" si="6"/>
        <v>2</v>
      </c>
      <c r="F81" s="38">
        <f t="shared" si="6"/>
        <v>103</v>
      </c>
      <c r="G81" s="38">
        <v>1</v>
      </c>
      <c r="H81" s="38">
        <v>80</v>
      </c>
      <c r="I81" s="38">
        <v>1</v>
      </c>
      <c r="J81" s="38">
        <v>23</v>
      </c>
      <c r="K81" s="38"/>
      <c r="L81" s="38"/>
      <c r="M81" s="38"/>
      <c r="N81" s="9"/>
    </row>
    <row r="82" spans="1:14">
      <c r="A82" s="38">
        <v>44</v>
      </c>
      <c r="B82" s="38" t="s">
        <v>86</v>
      </c>
      <c r="C82" s="39" t="s">
        <v>24</v>
      </c>
      <c r="D82" s="39" t="s">
        <v>87</v>
      </c>
      <c r="E82" s="38">
        <f t="shared" si="6"/>
        <v>2</v>
      </c>
      <c r="F82" s="38">
        <f t="shared" si="6"/>
        <v>47</v>
      </c>
      <c r="G82" s="38"/>
      <c r="H82" s="38"/>
      <c r="I82" s="38">
        <v>2</v>
      </c>
      <c r="J82" s="38">
        <v>47</v>
      </c>
      <c r="K82" s="38"/>
      <c r="L82" s="38"/>
      <c r="M82" s="38"/>
    </row>
    <row r="83" spans="1:14">
      <c r="A83" s="38">
        <v>45</v>
      </c>
      <c r="B83" s="38" t="s">
        <v>86</v>
      </c>
      <c r="C83" s="39" t="s">
        <v>24</v>
      </c>
      <c r="D83" s="39" t="s">
        <v>88</v>
      </c>
      <c r="E83" s="38">
        <f t="shared" si="6"/>
        <v>1</v>
      </c>
      <c r="F83" s="38">
        <f t="shared" si="6"/>
        <v>104</v>
      </c>
      <c r="G83" s="38">
        <v>1</v>
      </c>
      <c r="H83" s="38">
        <v>104</v>
      </c>
      <c r="I83" s="38"/>
      <c r="J83" s="38"/>
      <c r="K83" s="38"/>
      <c r="L83" s="38"/>
      <c r="M83" s="38"/>
    </row>
    <row r="84" spans="1:14">
      <c r="A84" s="38"/>
      <c r="B84" s="43">
        <v>45816</v>
      </c>
      <c r="C84" s="39" t="s">
        <v>24</v>
      </c>
      <c r="D84" s="39" t="s">
        <v>88</v>
      </c>
      <c r="E84" s="38">
        <f>G84+I84+K84</f>
        <v>1</v>
      </c>
      <c r="F84" s="38">
        <f>H84+J84+L84</f>
        <v>131</v>
      </c>
      <c r="G84" s="38">
        <v>1</v>
      </c>
      <c r="H84" s="38">
        <v>131</v>
      </c>
      <c r="I84" s="38"/>
      <c r="J84" s="38"/>
      <c r="K84" s="38"/>
      <c r="L84" s="38"/>
      <c r="M84" s="38" t="s">
        <v>274</v>
      </c>
    </row>
    <row r="85" spans="1:14">
      <c r="A85" s="38">
        <v>46</v>
      </c>
      <c r="B85" s="38" t="s">
        <v>86</v>
      </c>
      <c r="C85" s="39" t="s">
        <v>24</v>
      </c>
      <c r="D85" s="39" t="s">
        <v>89</v>
      </c>
      <c r="E85" s="38">
        <f t="shared" si="6"/>
        <v>4</v>
      </c>
      <c r="F85" s="38">
        <f t="shared" si="6"/>
        <v>112</v>
      </c>
      <c r="G85" s="38">
        <v>1</v>
      </c>
      <c r="H85" s="38">
        <v>92</v>
      </c>
      <c r="I85" s="38"/>
      <c r="J85" s="38"/>
      <c r="K85" s="38">
        <v>3</v>
      </c>
      <c r="L85" s="38">
        <v>20</v>
      </c>
      <c r="M85" s="38"/>
    </row>
    <row r="86" spans="1:14">
      <c r="A86" s="38"/>
      <c r="B86" s="38" t="s">
        <v>95</v>
      </c>
      <c r="C86" s="39" t="s">
        <v>24</v>
      </c>
      <c r="D86" s="39" t="s">
        <v>89</v>
      </c>
      <c r="E86" s="38">
        <f t="shared" si="6"/>
        <v>2</v>
      </c>
      <c r="F86" s="38">
        <f t="shared" si="6"/>
        <v>185</v>
      </c>
      <c r="G86" s="38">
        <v>1</v>
      </c>
      <c r="H86" s="38">
        <v>182</v>
      </c>
      <c r="I86" s="38"/>
      <c r="J86" s="38"/>
      <c r="K86" s="38">
        <v>1</v>
      </c>
      <c r="L86" s="38">
        <v>3</v>
      </c>
      <c r="M86" s="38" t="s">
        <v>274</v>
      </c>
    </row>
    <row r="87" spans="1:14">
      <c r="A87" s="38"/>
      <c r="B87" s="38" t="s">
        <v>108</v>
      </c>
      <c r="C87" s="39" t="s">
        <v>24</v>
      </c>
      <c r="D87" s="39" t="s">
        <v>89</v>
      </c>
      <c r="E87" s="38">
        <f t="shared" ref="E87:F112" si="7">G87+I87+K87</f>
        <v>5</v>
      </c>
      <c r="F87" s="38">
        <f t="shared" si="7"/>
        <v>35</v>
      </c>
      <c r="G87" s="38"/>
      <c r="H87" s="38"/>
      <c r="I87" s="38"/>
      <c r="J87" s="38"/>
      <c r="K87" s="38">
        <v>5</v>
      </c>
      <c r="L87" s="38">
        <v>35</v>
      </c>
      <c r="M87" s="38" t="s">
        <v>275</v>
      </c>
    </row>
    <row r="88" spans="1:14">
      <c r="A88" s="38">
        <v>47</v>
      </c>
      <c r="B88" s="38" t="s">
        <v>86</v>
      </c>
      <c r="C88" s="39" t="s">
        <v>24</v>
      </c>
      <c r="D88" s="39" t="s">
        <v>90</v>
      </c>
      <c r="E88" s="38">
        <f t="shared" si="7"/>
        <v>9</v>
      </c>
      <c r="F88" s="38">
        <f t="shared" si="7"/>
        <v>420</v>
      </c>
      <c r="G88" s="38">
        <v>3</v>
      </c>
      <c r="H88" s="38">
        <f>126+135+129</f>
        <v>390</v>
      </c>
      <c r="I88" s="38"/>
      <c r="J88" s="38"/>
      <c r="K88" s="38">
        <v>6</v>
      </c>
      <c r="L88" s="38">
        <v>30</v>
      </c>
      <c r="M88" s="38"/>
    </row>
    <row r="89" spans="1:14">
      <c r="A89" s="38"/>
      <c r="B89" s="43">
        <v>45724</v>
      </c>
      <c r="C89" s="39" t="s">
        <v>24</v>
      </c>
      <c r="D89" s="39" t="s">
        <v>90</v>
      </c>
      <c r="E89" s="38">
        <f>G89+I89+K89</f>
        <v>3</v>
      </c>
      <c r="F89" s="38">
        <f>H89+J89+L89</f>
        <v>172</v>
      </c>
      <c r="G89" s="38">
        <v>1</v>
      </c>
      <c r="H89" s="38">
        <v>132</v>
      </c>
      <c r="I89" s="38">
        <v>2</v>
      </c>
      <c r="J89" s="38">
        <f>19+21</f>
        <v>40</v>
      </c>
      <c r="K89" s="38"/>
      <c r="L89" s="38"/>
      <c r="M89" s="38" t="s">
        <v>274</v>
      </c>
    </row>
    <row r="90" spans="1:14">
      <c r="A90" s="38">
        <v>48</v>
      </c>
      <c r="B90" s="38" t="s">
        <v>86</v>
      </c>
      <c r="C90" s="39" t="s">
        <v>24</v>
      </c>
      <c r="D90" s="39" t="s">
        <v>91</v>
      </c>
      <c r="E90" s="38">
        <f t="shared" si="7"/>
        <v>1</v>
      </c>
      <c r="F90" s="38">
        <f t="shared" si="7"/>
        <v>30</v>
      </c>
      <c r="G90" s="38"/>
      <c r="H90" s="38"/>
      <c r="I90" s="38">
        <v>1</v>
      </c>
      <c r="J90" s="38">
        <v>30</v>
      </c>
      <c r="K90" s="38"/>
      <c r="L90" s="38"/>
      <c r="M90" s="38"/>
    </row>
    <row r="91" spans="1:14" s="11" customFormat="1">
      <c r="A91" s="38">
        <v>49</v>
      </c>
      <c r="B91" s="38" t="s">
        <v>86</v>
      </c>
      <c r="C91" s="39" t="s">
        <v>24</v>
      </c>
      <c r="D91" s="39" t="s">
        <v>92</v>
      </c>
      <c r="E91" s="38">
        <f t="shared" si="7"/>
        <v>8</v>
      </c>
      <c r="F91" s="38">
        <f t="shared" si="7"/>
        <v>168</v>
      </c>
      <c r="G91" s="38">
        <v>2</v>
      </c>
      <c r="H91" s="38">
        <f>76+86</f>
        <v>162</v>
      </c>
      <c r="I91" s="38"/>
      <c r="J91" s="38"/>
      <c r="K91" s="38">
        <v>6</v>
      </c>
      <c r="L91" s="38">
        <v>6</v>
      </c>
      <c r="M91" s="38"/>
    </row>
    <row r="92" spans="1:14" s="11" customFormat="1">
      <c r="A92" s="38"/>
      <c r="B92" s="43">
        <v>45696</v>
      </c>
      <c r="C92" s="39" t="s">
        <v>24</v>
      </c>
      <c r="D92" s="39" t="s">
        <v>92</v>
      </c>
      <c r="E92" s="38">
        <f>G92+I92+K92</f>
        <v>3</v>
      </c>
      <c r="F92" s="38">
        <f>H92+J92+L92</f>
        <v>86</v>
      </c>
      <c r="G92" s="38"/>
      <c r="H92" s="38"/>
      <c r="I92" s="38">
        <v>3</v>
      </c>
      <c r="J92" s="38">
        <f>27+30+29</f>
        <v>86</v>
      </c>
      <c r="K92" s="38"/>
      <c r="L92" s="38"/>
      <c r="M92" s="38" t="s">
        <v>274</v>
      </c>
    </row>
    <row r="93" spans="1:14" s="11" customFormat="1">
      <c r="A93" s="38">
        <v>50</v>
      </c>
      <c r="B93" s="38" t="s">
        <v>95</v>
      </c>
      <c r="C93" s="39" t="s">
        <v>24</v>
      </c>
      <c r="D93" s="39" t="s">
        <v>98</v>
      </c>
      <c r="E93" s="38">
        <f t="shared" si="7"/>
        <v>2</v>
      </c>
      <c r="F93" s="38">
        <f t="shared" si="7"/>
        <v>57</v>
      </c>
      <c r="G93" s="38"/>
      <c r="H93" s="38"/>
      <c r="I93" s="38">
        <v>2</v>
      </c>
      <c r="J93" s="38">
        <f>30+27</f>
        <v>57</v>
      </c>
      <c r="K93" s="38"/>
      <c r="L93" s="38"/>
      <c r="M93" s="38"/>
    </row>
    <row r="94" spans="1:14">
      <c r="A94" s="38"/>
      <c r="B94" s="43">
        <v>45816</v>
      </c>
      <c r="C94" s="39" t="s">
        <v>24</v>
      </c>
      <c r="D94" s="39" t="s">
        <v>98</v>
      </c>
      <c r="E94" s="38">
        <f>G94+I94+K94</f>
        <v>2</v>
      </c>
      <c r="F94" s="38">
        <f>H94+J94+L94</f>
        <v>90</v>
      </c>
      <c r="G94" s="38"/>
      <c r="H94" s="38"/>
      <c r="I94" s="38">
        <v>2</v>
      </c>
      <c r="J94" s="38">
        <f>40+50</f>
        <v>90</v>
      </c>
      <c r="K94" s="38"/>
      <c r="L94" s="38"/>
      <c r="M94" s="38" t="s">
        <v>274</v>
      </c>
      <c r="N94" s="11"/>
    </row>
    <row r="95" spans="1:14">
      <c r="A95" s="38">
        <v>51</v>
      </c>
      <c r="B95" s="38" t="s">
        <v>95</v>
      </c>
      <c r="C95" s="39" t="s">
        <v>24</v>
      </c>
      <c r="D95" s="39" t="s">
        <v>99</v>
      </c>
      <c r="E95" s="38">
        <f t="shared" si="7"/>
        <v>1</v>
      </c>
      <c r="F95" s="38">
        <f t="shared" si="7"/>
        <v>30</v>
      </c>
      <c r="G95" s="38"/>
      <c r="H95" s="38"/>
      <c r="I95" s="38">
        <v>1</v>
      </c>
      <c r="J95" s="38">
        <v>30</v>
      </c>
      <c r="K95" s="38"/>
      <c r="L95" s="38"/>
      <c r="M95" s="38"/>
      <c r="N95" s="11"/>
    </row>
    <row r="96" spans="1:14">
      <c r="A96" s="38">
        <v>52</v>
      </c>
      <c r="B96" s="38" t="s">
        <v>95</v>
      </c>
      <c r="C96" s="39" t="s">
        <v>24</v>
      </c>
      <c r="D96" s="39" t="s">
        <v>100</v>
      </c>
      <c r="E96" s="38">
        <f t="shared" si="7"/>
        <v>1</v>
      </c>
      <c r="F96" s="38">
        <f t="shared" si="7"/>
        <v>51</v>
      </c>
      <c r="G96" s="38"/>
      <c r="H96" s="38"/>
      <c r="I96" s="38">
        <v>1</v>
      </c>
      <c r="J96" s="38">
        <v>51</v>
      </c>
      <c r="K96" s="38"/>
      <c r="L96" s="38"/>
      <c r="M96" s="38"/>
      <c r="N96" s="11"/>
    </row>
    <row r="97" spans="1:14">
      <c r="A97" s="38">
        <v>53</v>
      </c>
      <c r="B97" s="38" t="s">
        <v>95</v>
      </c>
      <c r="C97" s="39" t="s">
        <v>24</v>
      </c>
      <c r="D97" s="39" t="s">
        <v>101</v>
      </c>
      <c r="E97" s="38">
        <f t="shared" si="7"/>
        <v>1</v>
      </c>
      <c r="F97" s="38">
        <f t="shared" si="7"/>
        <v>88</v>
      </c>
      <c r="G97" s="38"/>
      <c r="H97" s="38"/>
      <c r="I97" s="38">
        <v>1</v>
      </c>
      <c r="J97" s="38">
        <v>88</v>
      </c>
      <c r="K97" s="38"/>
      <c r="L97" s="38"/>
      <c r="M97" s="38"/>
      <c r="N97" s="11"/>
    </row>
    <row r="98" spans="1:14" s="11" customFormat="1">
      <c r="A98" s="38">
        <v>54</v>
      </c>
      <c r="B98" s="38" t="s">
        <v>95</v>
      </c>
      <c r="C98" s="39" t="s">
        <v>24</v>
      </c>
      <c r="D98" s="39" t="s">
        <v>102</v>
      </c>
      <c r="E98" s="38">
        <f t="shared" si="7"/>
        <v>1</v>
      </c>
      <c r="F98" s="38">
        <f t="shared" si="7"/>
        <v>73</v>
      </c>
      <c r="G98" s="38"/>
      <c r="H98" s="38"/>
      <c r="I98" s="38">
        <v>1</v>
      </c>
      <c r="J98" s="38">
        <v>73</v>
      </c>
      <c r="K98" s="38"/>
      <c r="L98" s="38"/>
      <c r="M98" s="38"/>
    </row>
    <row r="99" spans="1:14">
      <c r="A99" s="38">
        <v>55</v>
      </c>
      <c r="B99" s="38" t="s">
        <v>108</v>
      </c>
      <c r="C99" s="39" t="s">
        <v>24</v>
      </c>
      <c r="D99" s="39" t="s">
        <v>327</v>
      </c>
      <c r="E99" s="38">
        <f t="shared" si="7"/>
        <v>1</v>
      </c>
      <c r="F99" s="38">
        <f t="shared" si="7"/>
        <v>87</v>
      </c>
      <c r="G99" s="38">
        <v>1</v>
      </c>
      <c r="H99" s="38">
        <v>87</v>
      </c>
      <c r="I99" s="38"/>
      <c r="J99" s="38"/>
      <c r="K99" s="38"/>
      <c r="L99" s="38"/>
      <c r="M99" s="38"/>
      <c r="N99" s="11"/>
    </row>
    <row r="100" spans="1:14">
      <c r="A100" s="38">
        <v>56</v>
      </c>
      <c r="B100" s="38" t="s">
        <v>108</v>
      </c>
      <c r="C100" s="39" t="s">
        <v>24</v>
      </c>
      <c r="D100" s="39" t="s">
        <v>109</v>
      </c>
      <c r="E100" s="38">
        <f t="shared" si="7"/>
        <v>1</v>
      </c>
      <c r="F100" s="38">
        <f t="shared" si="7"/>
        <v>209</v>
      </c>
      <c r="G100" s="38">
        <v>1</v>
      </c>
      <c r="H100" s="38">
        <v>209</v>
      </c>
      <c r="I100" s="38"/>
      <c r="J100" s="38"/>
      <c r="K100" s="38"/>
      <c r="L100" s="38"/>
      <c r="M100" s="38"/>
      <c r="N100" s="11"/>
    </row>
    <row r="101" spans="1:14">
      <c r="A101" s="38"/>
      <c r="B101" s="43">
        <v>45816</v>
      </c>
      <c r="C101" s="39" t="s">
        <v>24</v>
      </c>
      <c r="D101" s="39" t="s">
        <v>109</v>
      </c>
      <c r="E101" s="38">
        <f>G101+I101+K101</f>
        <v>3</v>
      </c>
      <c r="F101" s="38">
        <f>H101+J101+L101</f>
        <v>204</v>
      </c>
      <c r="G101" s="38">
        <v>1</v>
      </c>
      <c r="H101" s="38">
        <v>170</v>
      </c>
      <c r="I101" s="38">
        <v>2</v>
      </c>
      <c r="J101" s="38">
        <f>16+18</f>
        <v>34</v>
      </c>
      <c r="K101" s="38"/>
      <c r="L101" s="38"/>
      <c r="M101" s="38" t="s">
        <v>274</v>
      </c>
      <c r="N101" s="11"/>
    </row>
    <row r="102" spans="1:14">
      <c r="A102" s="38"/>
      <c r="B102" s="43">
        <v>45877</v>
      </c>
      <c r="C102" s="39" t="s">
        <v>24</v>
      </c>
      <c r="D102" s="39" t="s">
        <v>109</v>
      </c>
      <c r="E102" s="38">
        <f>G102+I102+K102</f>
        <v>3</v>
      </c>
      <c r="F102" s="38">
        <f>H102+J102+L102</f>
        <v>319</v>
      </c>
      <c r="G102" s="38">
        <v>1</v>
      </c>
      <c r="H102" s="38">
        <v>201</v>
      </c>
      <c r="I102" s="38">
        <v>2</v>
      </c>
      <c r="J102" s="38">
        <f>58+60</f>
        <v>118</v>
      </c>
      <c r="K102" s="38"/>
      <c r="L102" s="38"/>
      <c r="M102" s="38" t="s">
        <v>275</v>
      </c>
      <c r="N102" s="11"/>
    </row>
    <row r="103" spans="1:14" s="11" customFormat="1">
      <c r="A103" s="38">
        <v>57</v>
      </c>
      <c r="B103" s="38" t="s">
        <v>108</v>
      </c>
      <c r="C103" s="39" t="s">
        <v>24</v>
      </c>
      <c r="D103" s="39" t="s">
        <v>110</v>
      </c>
      <c r="E103" s="38">
        <f t="shared" si="7"/>
        <v>2</v>
      </c>
      <c r="F103" s="38">
        <f t="shared" si="7"/>
        <v>126</v>
      </c>
      <c r="G103" s="38"/>
      <c r="H103" s="38"/>
      <c r="I103" s="38">
        <v>2</v>
      </c>
      <c r="J103" s="38">
        <f>68+58</f>
        <v>126</v>
      </c>
      <c r="K103" s="38"/>
      <c r="L103" s="38"/>
      <c r="M103" s="38"/>
    </row>
    <row r="104" spans="1:14">
      <c r="A104" s="38">
        <v>58</v>
      </c>
      <c r="B104" s="38" t="s">
        <v>108</v>
      </c>
      <c r="C104" s="39" t="s">
        <v>24</v>
      </c>
      <c r="D104" s="39" t="s">
        <v>328</v>
      </c>
      <c r="E104" s="38">
        <f t="shared" si="7"/>
        <v>2</v>
      </c>
      <c r="F104" s="38">
        <f t="shared" si="7"/>
        <v>83</v>
      </c>
      <c r="G104" s="38"/>
      <c r="H104" s="38"/>
      <c r="I104" s="38">
        <v>2</v>
      </c>
      <c r="J104" s="38">
        <f>41+42</f>
        <v>83</v>
      </c>
      <c r="K104" s="38"/>
      <c r="L104" s="38"/>
      <c r="M104" s="38"/>
    </row>
    <row r="105" spans="1:14">
      <c r="A105" s="38">
        <v>59</v>
      </c>
      <c r="B105" s="38" t="s">
        <v>108</v>
      </c>
      <c r="C105" s="39" t="s">
        <v>24</v>
      </c>
      <c r="D105" s="39" t="s">
        <v>111</v>
      </c>
      <c r="E105" s="38">
        <f t="shared" si="7"/>
        <v>1</v>
      </c>
      <c r="F105" s="38">
        <f t="shared" si="7"/>
        <v>43</v>
      </c>
      <c r="G105" s="38"/>
      <c r="H105" s="38"/>
      <c r="I105" s="38">
        <v>1</v>
      </c>
      <c r="J105" s="38">
        <v>43</v>
      </c>
      <c r="K105" s="38"/>
      <c r="L105" s="38"/>
      <c r="M105" s="38"/>
    </row>
    <row r="106" spans="1:14">
      <c r="A106" s="38">
        <v>60</v>
      </c>
      <c r="B106" s="38" t="s">
        <v>108</v>
      </c>
      <c r="C106" s="39" t="s">
        <v>24</v>
      </c>
      <c r="D106" s="92" t="s">
        <v>329</v>
      </c>
      <c r="E106" s="38">
        <f t="shared" si="7"/>
        <v>2</v>
      </c>
      <c r="F106" s="38">
        <f t="shared" si="7"/>
        <v>71</v>
      </c>
      <c r="G106" s="38"/>
      <c r="H106" s="38"/>
      <c r="I106" s="38">
        <v>2</v>
      </c>
      <c r="J106" s="38">
        <f>34+37</f>
        <v>71</v>
      </c>
      <c r="K106" s="38"/>
      <c r="L106" s="38"/>
      <c r="M106" s="38"/>
    </row>
    <row r="107" spans="1:14">
      <c r="A107" s="38">
        <v>61</v>
      </c>
      <c r="B107" s="47" t="s">
        <v>118</v>
      </c>
      <c r="C107" s="45" t="s">
        <v>24</v>
      </c>
      <c r="D107" s="45" t="s">
        <v>129</v>
      </c>
      <c r="E107" s="47">
        <f t="shared" si="7"/>
        <v>1</v>
      </c>
      <c r="F107" s="47">
        <f t="shared" si="7"/>
        <v>115</v>
      </c>
      <c r="G107" s="47">
        <v>1</v>
      </c>
      <c r="H107" s="47">
        <v>115</v>
      </c>
      <c r="I107" s="47"/>
      <c r="J107" s="47"/>
      <c r="K107" s="47"/>
      <c r="L107" s="47"/>
      <c r="M107" s="47"/>
    </row>
    <row r="108" spans="1:14" s="11" customFormat="1">
      <c r="A108" s="38">
        <v>62</v>
      </c>
      <c r="B108" s="43">
        <v>45665</v>
      </c>
      <c r="C108" s="39" t="s">
        <v>24</v>
      </c>
      <c r="D108" s="39" t="s">
        <v>130</v>
      </c>
      <c r="E108" s="38">
        <f t="shared" si="7"/>
        <v>1</v>
      </c>
      <c r="F108" s="38">
        <f t="shared" si="7"/>
        <v>112</v>
      </c>
      <c r="G108" s="38">
        <v>1</v>
      </c>
      <c r="H108" s="38">
        <v>112</v>
      </c>
      <c r="I108" s="38"/>
      <c r="J108" s="38"/>
      <c r="K108" s="38"/>
      <c r="L108" s="38"/>
      <c r="M108" s="38"/>
      <c r="N108" s="9"/>
    </row>
    <row r="109" spans="1:14">
      <c r="A109" s="38">
        <v>63</v>
      </c>
      <c r="B109" s="43">
        <v>45665</v>
      </c>
      <c r="C109" s="39" t="s">
        <v>24</v>
      </c>
      <c r="D109" s="39" t="s">
        <v>131</v>
      </c>
      <c r="E109" s="38">
        <f t="shared" si="7"/>
        <v>9</v>
      </c>
      <c r="F109" s="38">
        <f t="shared" si="7"/>
        <v>1124</v>
      </c>
      <c r="G109" s="38">
        <v>2</v>
      </c>
      <c r="H109" s="38">
        <f>206+232</f>
        <v>438</v>
      </c>
      <c r="I109" s="38">
        <v>7</v>
      </c>
      <c r="J109" s="38">
        <f>98+99+97+100+96+98+98</f>
        <v>686</v>
      </c>
      <c r="K109" s="38"/>
      <c r="L109" s="38"/>
      <c r="M109" s="38"/>
    </row>
    <row r="110" spans="1:14" s="11" customFormat="1">
      <c r="A110" s="38">
        <v>64</v>
      </c>
      <c r="B110" s="43">
        <v>45665</v>
      </c>
      <c r="C110" s="39" t="s">
        <v>24</v>
      </c>
      <c r="D110" s="92" t="s">
        <v>330</v>
      </c>
      <c r="E110" s="38">
        <f t="shared" si="7"/>
        <v>1</v>
      </c>
      <c r="F110" s="38">
        <f t="shared" si="7"/>
        <v>15</v>
      </c>
      <c r="G110" s="38"/>
      <c r="H110" s="38"/>
      <c r="I110" s="38">
        <v>1</v>
      </c>
      <c r="J110" s="38">
        <v>15</v>
      </c>
      <c r="K110" s="38"/>
      <c r="L110" s="38"/>
      <c r="M110" s="38"/>
      <c r="N110" s="9"/>
    </row>
    <row r="111" spans="1:14" s="11" customFormat="1">
      <c r="A111" s="38">
        <v>65</v>
      </c>
      <c r="B111" s="43">
        <v>45665</v>
      </c>
      <c r="C111" s="39" t="s">
        <v>24</v>
      </c>
      <c r="D111" s="39" t="s">
        <v>132</v>
      </c>
      <c r="E111" s="38">
        <f t="shared" si="7"/>
        <v>2</v>
      </c>
      <c r="F111" s="38">
        <f t="shared" si="7"/>
        <v>31</v>
      </c>
      <c r="G111" s="38"/>
      <c r="H111" s="38"/>
      <c r="I111" s="38">
        <v>2</v>
      </c>
      <c r="J111" s="38">
        <v>31</v>
      </c>
      <c r="K111" s="38"/>
      <c r="L111" s="38"/>
      <c r="M111" s="38"/>
      <c r="N111" s="9"/>
    </row>
    <row r="112" spans="1:14">
      <c r="A112" s="38">
        <v>66</v>
      </c>
      <c r="B112" s="43">
        <v>45665</v>
      </c>
      <c r="C112" s="39" t="s">
        <v>24</v>
      </c>
      <c r="D112" s="39" t="s">
        <v>134</v>
      </c>
      <c r="E112" s="38">
        <f t="shared" si="7"/>
        <v>16</v>
      </c>
      <c r="F112" s="38">
        <f t="shared" si="7"/>
        <v>209</v>
      </c>
      <c r="G112" s="38">
        <v>1</v>
      </c>
      <c r="H112" s="38">
        <v>194</v>
      </c>
      <c r="I112" s="38"/>
      <c r="J112" s="38"/>
      <c r="K112" s="38">
        <v>15</v>
      </c>
      <c r="L112" s="38">
        <v>15</v>
      </c>
      <c r="M112" s="38"/>
    </row>
    <row r="113" spans="1:14">
      <c r="A113" s="38"/>
      <c r="B113" s="43">
        <v>45724</v>
      </c>
      <c r="C113" s="39" t="s">
        <v>24</v>
      </c>
      <c r="D113" s="39" t="s">
        <v>134</v>
      </c>
      <c r="E113" s="38">
        <f>G113+I113+K113</f>
        <v>2</v>
      </c>
      <c r="F113" s="38">
        <f>H113+J113+L113</f>
        <v>95</v>
      </c>
      <c r="G113" s="38"/>
      <c r="H113" s="38"/>
      <c r="I113" s="38">
        <v>2</v>
      </c>
      <c r="J113" s="38">
        <f>45+50</f>
        <v>95</v>
      </c>
      <c r="K113" s="38"/>
      <c r="L113" s="38"/>
      <c r="M113" s="38" t="s">
        <v>274</v>
      </c>
    </row>
    <row r="114" spans="1:14">
      <c r="A114" s="38">
        <v>67</v>
      </c>
      <c r="B114" s="43">
        <v>45696</v>
      </c>
      <c r="C114" s="39" t="s">
        <v>24</v>
      </c>
      <c r="D114" s="39" t="s">
        <v>142</v>
      </c>
      <c r="E114" s="38">
        <f t="shared" ref="E114:F125" si="8">G114+I114+K114</f>
        <v>1</v>
      </c>
      <c r="F114" s="38">
        <f t="shared" si="8"/>
        <v>134</v>
      </c>
      <c r="G114" s="38">
        <v>1</v>
      </c>
      <c r="H114" s="38">
        <v>134</v>
      </c>
      <c r="I114" s="38"/>
      <c r="J114" s="38"/>
      <c r="K114" s="38"/>
      <c r="L114" s="38"/>
      <c r="M114" s="38"/>
    </row>
    <row r="115" spans="1:14">
      <c r="A115" s="38">
        <v>68</v>
      </c>
      <c r="B115" s="43">
        <v>45696</v>
      </c>
      <c r="C115" s="39" t="s">
        <v>24</v>
      </c>
      <c r="D115" s="39" t="s">
        <v>143</v>
      </c>
      <c r="E115" s="38">
        <f t="shared" si="8"/>
        <v>1</v>
      </c>
      <c r="F115" s="38">
        <f t="shared" si="8"/>
        <v>41</v>
      </c>
      <c r="G115" s="38"/>
      <c r="H115" s="38"/>
      <c r="I115" s="38">
        <v>1</v>
      </c>
      <c r="J115" s="38">
        <v>41</v>
      </c>
      <c r="K115" s="38"/>
      <c r="L115" s="38"/>
      <c r="M115" s="38"/>
    </row>
    <row r="116" spans="1:14" s="11" customFormat="1">
      <c r="A116" s="38">
        <v>69</v>
      </c>
      <c r="B116" s="43">
        <v>45696</v>
      </c>
      <c r="C116" s="39" t="s">
        <v>24</v>
      </c>
      <c r="D116" s="39" t="s">
        <v>323</v>
      </c>
      <c r="E116" s="38">
        <f t="shared" si="8"/>
        <v>1</v>
      </c>
      <c r="F116" s="38">
        <f t="shared" si="8"/>
        <v>182</v>
      </c>
      <c r="G116" s="38">
        <v>1</v>
      </c>
      <c r="H116" s="38">
        <v>182</v>
      </c>
      <c r="I116" s="38"/>
      <c r="J116" s="38"/>
      <c r="K116" s="38"/>
      <c r="L116" s="38"/>
      <c r="M116" s="38"/>
      <c r="N116" s="9"/>
    </row>
    <row r="117" spans="1:14">
      <c r="A117" s="38">
        <v>70</v>
      </c>
      <c r="B117" s="43">
        <v>45816</v>
      </c>
      <c r="C117" s="39" t="s">
        <v>24</v>
      </c>
      <c r="D117" s="39" t="s">
        <v>168</v>
      </c>
      <c r="E117" s="38">
        <f t="shared" si="8"/>
        <v>1</v>
      </c>
      <c r="F117" s="38">
        <f t="shared" si="8"/>
        <v>59</v>
      </c>
      <c r="G117" s="38"/>
      <c r="H117" s="38"/>
      <c r="I117" s="38">
        <v>1</v>
      </c>
      <c r="J117" s="38">
        <v>59</v>
      </c>
      <c r="K117" s="38"/>
      <c r="L117" s="38"/>
      <c r="M117" s="38"/>
    </row>
    <row r="118" spans="1:14">
      <c r="A118" s="38">
        <v>71</v>
      </c>
      <c r="B118" s="43">
        <v>45816</v>
      </c>
      <c r="C118" s="39" t="s">
        <v>24</v>
      </c>
      <c r="D118" s="39" t="s">
        <v>169</v>
      </c>
      <c r="E118" s="38">
        <f t="shared" si="8"/>
        <v>2</v>
      </c>
      <c r="F118" s="38">
        <f t="shared" si="8"/>
        <v>129</v>
      </c>
      <c r="G118" s="38"/>
      <c r="H118" s="38"/>
      <c r="I118" s="38">
        <v>2</v>
      </c>
      <c r="J118" s="38">
        <f>62+67</f>
        <v>129</v>
      </c>
      <c r="K118" s="38"/>
      <c r="L118" s="38"/>
      <c r="M118" s="38"/>
    </row>
    <row r="119" spans="1:14">
      <c r="A119" s="38">
        <v>72</v>
      </c>
      <c r="B119" s="43">
        <v>45846</v>
      </c>
      <c r="C119" s="39" t="s">
        <v>24</v>
      </c>
      <c r="D119" s="39" t="s">
        <v>246</v>
      </c>
      <c r="E119" s="38">
        <f t="shared" si="8"/>
        <v>11</v>
      </c>
      <c r="F119" s="38">
        <f t="shared" si="8"/>
        <v>604</v>
      </c>
      <c r="G119" s="38"/>
      <c r="H119" s="38"/>
      <c r="I119" s="38">
        <v>11</v>
      </c>
      <c r="J119" s="38">
        <f>54+56+52+58+50+57+51+54+54+60+58</f>
        <v>604</v>
      </c>
      <c r="K119" s="38"/>
      <c r="L119" s="38"/>
      <c r="M119" s="38"/>
    </row>
    <row r="120" spans="1:14">
      <c r="A120" s="38"/>
      <c r="B120" s="38" t="s">
        <v>205</v>
      </c>
      <c r="C120" s="39" t="s">
        <v>24</v>
      </c>
      <c r="D120" s="39" t="s">
        <v>246</v>
      </c>
      <c r="E120" s="38">
        <f>G120+I120+K120</f>
        <v>14</v>
      </c>
      <c r="F120" s="38">
        <f>H120+J120+L120</f>
        <v>425</v>
      </c>
      <c r="G120" s="38">
        <v>1</v>
      </c>
      <c r="H120" s="38">
        <v>87</v>
      </c>
      <c r="I120" s="38">
        <v>13</v>
      </c>
      <c r="J120" s="38">
        <f>54+54+50+53+49+52+26</f>
        <v>338</v>
      </c>
      <c r="K120" s="38"/>
      <c r="L120" s="38"/>
      <c r="M120" s="38" t="s">
        <v>274</v>
      </c>
    </row>
    <row r="121" spans="1:14">
      <c r="A121" s="38">
        <v>73</v>
      </c>
      <c r="B121" s="43">
        <v>45846</v>
      </c>
      <c r="C121" s="39" t="s">
        <v>24</v>
      </c>
      <c r="D121" s="39" t="s">
        <v>176</v>
      </c>
      <c r="E121" s="38">
        <f t="shared" si="8"/>
        <v>13</v>
      </c>
      <c r="F121" s="38">
        <f t="shared" si="8"/>
        <v>597</v>
      </c>
      <c r="G121" s="38">
        <v>4</v>
      </c>
      <c r="H121" s="38">
        <f>65+100+45+89</f>
        <v>299</v>
      </c>
      <c r="I121" s="38">
        <v>9</v>
      </c>
      <c r="J121" s="38">
        <f>10+72+74+72+70</f>
        <v>298</v>
      </c>
      <c r="K121" s="38"/>
      <c r="L121" s="38"/>
      <c r="M121" s="38"/>
    </row>
    <row r="122" spans="1:14">
      <c r="A122" s="38">
        <v>74</v>
      </c>
      <c r="B122" s="43">
        <v>45999</v>
      </c>
      <c r="C122" s="39" t="s">
        <v>24</v>
      </c>
      <c r="D122" s="39" t="s">
        <v>193</v>
      </c>
      <c r="E122" s="38">
        <f t="shared" si="8"/>
        <v>1</v>
      </c>
      <c r="F122" s="38">
        <f t="shared" si="8"/>
        <v>167</v>
      </c>
      <c r="G122" s="38">
        <v>1</v>
      </c>
      <c r="H122" s="38">
        <v>167</v>
      </c>
      <c r="I122" s="38"/>
      <c r="J122" s="38"/>
      <c r="K122" s="38"/>
      <c r="L122" s="38"/>
      <c r="M122" s="38"/>
    </row>
    <row r="123" spans="1:14">
      <c r="A123" s="38">
        <v>75</v>
      </c>
      <c r="B123" s="38" t="s">
        <v>205</v>
      </c>
      <c r="C123" s="39" t="s">
        <v>24</v>
      </c>
      <c r="D123" s="39" t="s">
        <v>206</v>
      </c>
      <c r="E123" s="38">
        <f t="shared" si="8"/>
        <v>1</v>
      </c>
      <c r="F123" s="38">
        <f t="shared" si="8"/>
        <v>167</v>
      </c>
      <c r="G123" s="38">
        <v>1</v>
      </c>
      <c r="H123" s="38">
        <v>167</v>
      </c>
      <c r="I123" s="38"/>
      <c r="J123" s="38"/>
      <c r="K123" s="38"/>
      <c r="L123" s="38"/>
      <c r="M123" s="38"/>
    </row>
    <row r="124" spans="1:14">
      <c r="A124" s="38"/>
      <c r="B124" s="38" t="s">
        <v>217</v>
      </c>
      <c r="C124" s="39" t="s">
        <v>24</v>
      </c>
      <c r="D124" s="39" t="s">
        <v>206</v>
      </c>
      <c r="E124" s="38">
        <f t="shared" si="8"/>
        <v>1</v>
      </c>
      <c r="F124" s="38">
        <f t="shared" si="8"/>
        <v>298</v>
      </c>
      <c r="G124" s="38">
        <v>1</v>
      </c>
      <c r="H124" s="38">
        <v>298</v>
      </c>
      <c r="I124" s="38"/>
      <c r="J124" s="38"/>
      <c r="K124" s="38"/>
      <c r="L124" s="38"/>
      <c r="M124" s="38" t="s">
        <v>274</v>
      </c>
    </row>
    <row r="125" spans="1:14" s="12" customFormat="1">
      <c r="A125" s="38"/>
      <c r="B125" s="38" t="s">
        <v>232</v>
      </c>
      <c r="C125" s="39" t="s">
        <v>24</v>
      </c>
      <c r="D125" s="39" t="s">
        <v>206</v>
      </c>
      <c r="E125" s="38">
        <f t="shared" si="8"/>
        <v>1</v>
      </c>
      <c r="F125" s="38">
        <f t="shared" si="8"/>
        <v>329</v>
      </c>
      <c r="G125" s="38">
        <v>1</v>
      </c>
      <c r="H125" s="38">
        <v>329</v>
      </c>
      <c r="I125" s="38"/>
      <c r="J125" s="38"/>
      <c r="K125" s="38"/>
      <c r="L125" s="38"/>
      <c r="M125" s="38" t="s">
        <v>275</v>
      </c>
    </row>
    <row r="126" spans="1:14" s="18" customFormat="1" ht="14.25">
      <c r="A126" s="101" t="s">
        <v>251</v>
      </c>
      <c r="B126" s="131" t="s">
        <v>252</v>
      </c>
      <c r="C126" s="131"/>
      <c r="D126" s="131"/>
      <c r="E126" s="132">
        <f t="shared" ref="E126:L126" si="9">SUM(E127:E214)</f>
        <v>727</v>
      </c>
      <c r="F126" s="132">
        <f t="shared" si="9"/>
        <v>38332</v>
      </c>
      <c r="G126" s="132">
        <f t="shared" si="9"/>
        <v>97</v>
      </c>
      <c r="H126" s="132">
        <f t="shared" si="9"/>
        <v>13369</v>
      </c>
      <c r="I126" s="132">
        <f t="shared" si="9"/>
        <v>481</v>
      </c>
      <c r="J126" s="132">
        <f t="shared" si="9"/>
        <v>24493</v>
      </c>
      <c r="K126" s="132">
        <f t="shared" si="9"/>
        <v>149</v>
      </c>
      <c r="L126" s="132">
        <f t="shared" si="9"/>
        <v>470</v>
      </c>
      <c r="M126" s="101"/>
    </row>
    <row r="127" spans="1:14" s="12" customFormat="1">
      <c r="A127" s="38">
        <v>1</v>
      </c>
      <c r="B127" s="43" t="s">
        <v>15</v>
      </c>
      <c r="C127" s="39" t="s">
        <v>16</v>
      </c>
      <c r="D127" s="39" t="s">
        <v>17</v>
      </c>
      <c r="E127" s="128">
        <f>G127+I127+K127</f>
        <v>24</v>
      </c>
      <c r="F127" s="128">
        <f>H127+J127+L127</f>
        <v>727</v>
      </c>
      <c r="G127" s="38">
        <v>3</v>
      </c>
      <c r="H127" s="41">
        <v>567</v>
      </c>
      <c r="I127" s="38">
        <v>1</v>
      </c>
      <c r="J127" s="41">
        <v>40</v>
      </c>
      <c r="K127" s="38">
        <v>20</v>
      </c>
      <c r="L127" s="41">
        <v>120</v>
      </c>
      <c r="M127" s="38"/>
    </row>
    <row r="128" spans="1:14" s="12" customFormat="1">
      <c r="A128" s="38">
        <v>2</v>
      </c>
      <c r="B128" s="38" t="s">
        <v>50</v>
      </c>
      <c r="C128" s="39" t="s">
        <v>16</v>
      </c>
      <c r="D128" s="39" t="s">
        <v>58</v>
      </c>
      <c r="E128" s="38">
        <f t="shared" ref="E128:F142" si="10">G128+I128+K128</f>
        <v>2</v>
      </c>
      <c r="F128" s="38">
        <f t="shared" si="10"/>
        <v>209</v>
      </c>
      <c r="G128" s="38">
        <v>2</v>
      </c>
      <c r="H128" s="38">
        <f>116+93</f>
        <v>209</v>
      </c>
      <c r="I128" s="38"/>
      <c r="J128" s="38"/>
      <c r="K128" s="38"/>
      <c r="L128" s="38"/>
      <c r="M128" s="38"/>
    </row>
    <row r="129" spans="1:14" s="12" customFormat="1">
      <c r="A129" s="38"/>
      <c r="B129" s="38" t="s">
        <v>61</v>
      </c>
      <c r="C129" s="39" t="s">
        <v>16</v>
      </c>
      <c r="D129" s="39" t="s">
        <v>58</v>
      </c>
      <c r="E129" s="38">
        <f>G129+I129+K129</f>
        <v>13</v>
      </c>
      <c r="F129" s="38">
        <f>H129+J129+L129</f>
        <v>767</v>
      </c>
      <c r="G129" s="38">
        <v>1</v>
      </c>
      <c r="H129" s="38">
        <v>211</v>
      </c>
      <c r="I129" s="38">
        <v>12</v>
      </c>
      <c r="J129" s="38">
        <f>85+90+93+94+95+99</f>
        <v>556</v>
      </c>
      <c r="K129" s="38"/>
      <c r="L129" s="38"/>
      <c r="M129" s="38" t="s">
        <v>274</v>
      </c>
    </row>
    <row r="130" spans="1:14">
      <c r="A130" s="38"/>
      <c r="B130" s="38" t="s">
        <v>95</v>
      </c>
      <c r="C130" s="39" t="s">
        <v>16</v>
      </c>
      <c r="D130" s="39" t="s">
        <v>58</v>
      </c>
      <c r="E130" s="38">
        <f>G130+I130+K130</f>
        <v>13</v>
      </c>
      <c r="F130" s="38">
        <f>H130+J130+L130</f>
        <v>130</v>
      </c>
      <c r="G130" s="38"/>
      <c r="H130" s="38"/>
      <c r="I130" s="38">
        <v>13</v>
      </c>
      <c r="J130" s="38">
        <v>130</v>
      </c>
      <c r="K130" s="38"/>
      <c r="L130" s="38"/>
      <c r="M130" s="38" t="s">
        <v>275</v>
      </c>
    </row>
    <row r="131" spans="1:14" s="11" customFormat="1">
      <c r="A131" s="38">
        <v>3</v>
      </c>
      <c r="B131" s="38" t="s">
        <v>61</v>
      </c>
      <c r="C131" s="39" t="s">
        <v>16</v>
      </c>
      <c r="D131" s="39" t="s">
        <v>69</v>
      </c>
      <c r="E131" s="38">
        <f t="shared" si="10"/>
        <v>1</v>
      </c>
      <c r="F131" s="38">
        <f t="shared" si="10"/>
        <v>51</v>
      </c>
      <c r="G131" s="38"/>
      <c r="H131" s="38"/>
      <c r="I131" s="38">
        <v>1</v>
      </c>
      <c r="J131" s="38">
        <v>51</v>
      </c>
      <c r="K131" s="38"/>
      <c r="L131" s="38"/>
      <c r="M131" s="38"/>
      <c r="N131" s="9"/>
    </row>
    <row r="132" spans="1:14" s="11" customFormat="1">
      <c r="A132" s="38"/>
      <c r="B132" s="43">
        <v>45724</v>
      </c>
      <c r="C132" s="39" t="s">
        <v>16</v>
      </c>
      <c r="D132" s="39" t="s">
        <v>69</v>
      </c>
      <c r="E132" s="38">
        <f>G132+I132+K132</f>
        <v>1</v>
      </c>
      <c r="F132" s="38">
        <f>H132+J132+L132</f>
        <v>19</v>
      </c>
      <c r="G132" s="38"/>
      <c r="H132" s="38"/>
      <c r="I132" s="38">
        <v>1</v>
      </c>
      <c r="J132" s="38">
        <v>19</v>
      </c>
      <c r="K132" s="38"/>
      <c r="L132" s="38"/>
      <c r="M132" s="38" t="s">
        <v>274</v>
      </c>
      <c r="N132" s="9"/>
    </row>
    <row r="133" spans="1:14">
      <c r="A133" s="38">
        <v>4</v>
      </c>
      <c r="B133" s="38" t="s">
        <v>61</v>
      </c>
      <c r="C133" s="39" t="s">
        <v>16</v>
      </c>
      <c r="D133" s="39" t="s">
        <v>70</v>
      </c>
      <c r="E133" s="38">
        <f t="shared" si="10"/>
        <v>35</v>
      </c>
      <c r="F133" s="38">
        <f t="shared" si="10"/>
        <v>3053</v>
      </c>
      <c r="G133" s="38"/>
      <c r="H133" s="38"/>
      <c r="I133" s="38">
        <v>35</v>
      </c>
      <c r="J133" s="38">
        <f>117+125+120+121+119+121+122+118+123+124+125+123+126+127+124+126+125+120+126+119+122+128+127+53+56+57+59</f>
        <v>3053</v>
      </c>
      <c r="K133" s="38"/>
      <c r="L133" s="38"/>
      <c r="M133" s="38"/>
    </row>
    <row r="134" spans="1:14">
      <c r="A134" s="38">
        <v>5</v>
      </c>
      <c r="B134" s="38" t="s">
        <v>61</v>
      </c>
      <c r="C134" s="39" t="s">
        <v>16</v>
      </c>
      <c r="D134" s="39" t="s">
        <v>71</v>
      </c>
      <c r="E134" s="38">
        <f t="shared" si="10"/>
        <v>2</v>
      </c>
      <c r="F134" s="38">
        <f t="shared" si="10"/>
        <v>168</v>
      </c>
      <c r="G134" s="38"/>
      <c r="H134" s="38"/>
      <c r="I134" s="38">
        <v>2</v>
      </c>
      <c r="J134" s="38">
        <f>73+95</f>
        <v>168</v>
      </c>
      <c r="K134" s="38"/>
      <c r="L134" s="38"/>
      <c r="M134" s="38"/>
    </row>
    <row r="135" spans="1:14">
      <c r="A135" s="38"/>
      <c r="B135" s="38" t="s">
        <v>108</v>
      </c>
      <c r="C135" s="39" t="s">
        <v>16</v>
      </c>
      <c r="D135" s="39" t="s">
        <v>71</v>
      </c>
      <c r="E135" s="38">
        <f>G135+I135+K135</f>
        <v>29</v>
      </c>
      <c r="F135" s="38">
        <f>H135+J135+L135</f>
        <v>2461</v>
      </c>
      <c r="G135" s="38">
        <v>2</v>
      </c>
      <c r="H135" s="38">
        <f>173+151</f>
        <v>324</v>
      </c>
      <c r="I135" s="38">
        <v>27</v>
      </c>
      <c r="J135" s="38">
        <f>54+56+56+58+55+112+115+121+125+120+122+120+121+87+97+100+101+95+115+110+105+92</f>
        <v>2137</v>
      </c>
      <c r="K135" s="38"/>
      <c r="L135" s="38"/>
      <c r="M135" s="38" t="s">
        <v>274</v>
      </c>
    </row>
    <row r="136" spans="1:14">
      <c r="A136" s="38"/>
      <c r="B136" s="43">
        <v>45816</v>
      </c>
      <c r="C136" s="39" t="s">
        <v>16</v>
      </c>
      <c r="D136" s="39" t="s">
        <v>170</v>
      </c>
      <c r="E136" s="38">
        <f>G136+I136+K136</f>
        <v>1</v>
      </c>
      <c r="F136" s="38">
        <f>H136+J136+L136</f>
        <v>125</v>
      </c>
      <c r="G136" s="38">
        <v>1</v>
      </c>
      <c r="H136" s="38">
        <v>125</v>
      </c>
      <c r="I136" s="38"/>
      <c r="J136" s="38"/>
      <c r="K136" s="38"/>
      <c r="L136" s="38"/>
      <c r="M136" s="38" t="s">
        <v>275</v>
      </c>
    </row>
    <row r="137" spans="1:14" s="11" customFormat="1">
      <c r="A137" s="38">
        <v>6</v>
      </c>
      <c r="B137" s="38" t="s">
        <v>61</v>
      </c>
      <c r="C137" s="39" t="s">
        <v>16</v>
      </c>
      <c r="D137" s="39" t="s">
        <v>341</v>
      </c>
      <c r="E137" s="38">
        <f t="shared" si="10"/>
        <v>1</v>
      </c>
      <c r="F137" s="38">
        <f t="shared" si="10"/>
        <v>162</v>
      </c>
      <c r="G137" s="38">
        <v>1</v>
      </c>
      <c r="H137" s="38">
        <v>162</v>
      </c>
      <c r="I137" s="38"/>
      <c r="J137" s="38"/>
      <c r="K137" s="38"/>
      <c r="L137" s="38"/>
      <c r="M137" s="38"/>
      <c r="N137" s="9"/>
    </row>
    <row r="138" spans="1:14">
      <c r="A138" s="38">
        <v>7</v>
      </c>
      <c r="B138" s="38" t="s">
        <v>73</v>
      </c>
      <c r="C138" s="39" t="s">
        <v>16</v>
      </c>
      <c r="D138" s="39" t="s">
        <v>80</v>
      </c>
      <c r="E138" s="38">
        <f t="shared" si="10"/>
        <v>2</v>
      </c>
      <c r="F138" s="38">
        <f t="shared" si="10"/>
        <v>376</v>
      </c>
      <c r="G138" s="38">
        <v>2</v>
      </c>
      <c r="H138" s="38">
        <f>207+169</f>
        <v>376</v>
      </c>
      <c r="I138" s="38"/>
      <c r="J138" s="38"/>
      <c r="K138" s="38"/>
      <c r="L138" s="38"/>
      <c r="M138" s="38"/>
    </row>
    <row r="139" spans="1:14">
      <c r="A139" s="38"/>
      <c r="B139" s="43">
        <v>45785</v>
      </c>
      <c r="C139" s="39" t="s">
        <v>16</v>
      </c>
      <c r="D139" s="39" t="s">
        <v>80</v>
      </c>
      <c r="E139" s="38">
        <f>G139+I139+K139</f>
        <v>15</v>
      </c>
      <c r="F139" s="38">
        <f>H139+J139+L139</f>
        <v>366</v>
      </c>
      <c r="G139" s="38">
        <v>2</v>
      </c>
      <c r="H139" s="38">
        <f>147+165</f>
        <v>312</v>
      </c>
      <c r="I139" s="38">
        <v>3</v>
      </c>
      <c r="J139" s="38">
        <v>24</v>
      </c>
      <c r="K139" s="38">
        <v>10</v>
      </c>
      <c r="L139" s="38">
        <v>30</v>
      </c>
      <c r="M139" s="38" t="s">
        <v>274</v>
      </c>
    </row>
    <row r="140" spans="1:14">
      <c r="A140" s="38">
        <v>8</v>
      </c>
      <c r="B140" s="38" t="s">
        <v>73</v>
      </c>
      <c r="C140" s="39" t="s">
        <v>16</v>
      </c>
      <c r="D140" s="39" t="s">
        <v>81</v>
      </c>
      <c r="E140" s="38">
        <f t="shared" si="10"/>
        <v>4</v>
      </c>
      <c r="F140" s="38">
        <f t="shared" si="10"/>
        <v>547</v>
      </c>
      <c r="G140" s="38">
        <v>4</v>
      </c>
      <c r="H140" s="38">
        <f>231+92+139+85</f>
        <v>547</v>
      </c>
      <c r="I140" s="38"/>
      <c r="J140" s="38"/>
      <c r="K140" s="38"/>
      <c r="L140" s="38"/>
      <c r="M140" s="38"/>
    </row>
    <row r="141" spans="1:14">
      <c r="A141" s="38">
        <v>9</v>
      </c>
      <c r="B141" s="38" t="s">
        <v>73</v>
      </c>
      <c r="C141" s="39" t="s">
        <v>16</v>
      </c>
      <c r="D141" s="39" t="s">
        <v>342</v>
      </c>
      <c r="E141" s="38">
        <f t="shared" si="10"/>
        <v>1</v>
      </c>
      <c r="F141" s="38">
        <f t="shared" si="10"/>
        <v>119</v>
      </c>
      <c r="G141" s="38">
        <v>1</v>
      </c>
      <c r="H141" s="38">
        <v>119</v>
      </c>
      <c r="I141" s="38"/>
      <c r="J141" s="38"/>
      <c r="K141" s="38"/>
      <c r="L141" s="38"/>
      <c r="M141" s="38"/>
    </row>
    <row r="142" spans="1:14">
      <c r="A142" s="38">
        <v>10</v>
      </c>
      <c r="B142" s="38" t="s">
        <v>73</v>
      </c>
      <c r="C142" s="39" t="s">
        <v>16</v>
      </c>
      <c r="D142" s="39" t="s">
        <v>82</v>
      </c>
      <c r="E142" s="38">
        <f t="shared" si="10"/>
        <v>1</v>
      </c>
      <c r="F142" s="38">
        <f t="shared" si="10"/>
        <v>156</v>
      </c>
      <c r="G142" s="38">
        <v>1</v>
      </c>
      <c r="H142" s="38">
        <v>156</v>
      </c>
      <c r="I142" s="38"/>
      <c r="J142" s="38"/>
      <c r="K142" s="38"/>
      <c r="L142" s="38"/>
      <c r="M142" s="38"/>
    </row>
    <row r="143" spans="1:14" s="12" customFormat="1">
      <c r="A143" s="38"/>
      <c r="B143" s="43">
        <v>45785</v>
      </c>
      <c r="C143" s="39" t="s">
        <v>16</v>
      </c>
      <c r="D143" s="39" t="s">
        <v>82</v>
      </c>
      <c r="E143" s="38">
        <f>G143+I143+K143</f>
        <v>7</v>
      </c>
      <c r="F143" s="38">
        <f>H143+J143+L143</f>
        <v>593</v>
      </c>
      <c r="G143" s="38">
        <v>2</v>
      </c>
      <c r="H143" s="38">
        <f>128+109</f>
        <v>237</v>
      </c>
      <c r="I143" s="38">
        <v>5</v>
      </c>
      <c r="J143" s="38">
        <f>71+73+69+71+72</f>
        <v>356</v>
      </c>
      <c r="K143" s="38"/>
      <c r="L143" s="38"/>
      <c r="M143" s="38" t="s">
        <v>274</v>
      </c>
    </row>
    <row r="144" spans="1:14">
      <c r="A144" s="38"/>
      <c r="B144" s="43">
        <v>45999</v>
      </c>
      <c r="C144" s="39" t="s">
        <v>16</v>
      </c>
      <c r="D144" s="39" t="s">
        <v>82</v>
      </c>
      <c r="E144" s="38">
        <f>G144+I144+K144</f>
        <v>16</v>
      </c>
      <c r="F144" s="38">
        <f>H144+J144+L144</f>
        <v>457</v>
      </c>
      <c r="G144" s="38">
        <v>1</v>
      </c>
      <c r="H144" s="38">
        <v>157</v>
      </c>
      <c r="I144" s="38">
        <f>3+3+2+2+2+2+1</f>
        <v>15</v>
      </c>
      <c r="J144" s="38">
        <f>35+31+52+54+50+52+26</f>
        <v>300</v>
      </c>
      <c r="K144" s="38"/>
      <c r="L144" s="38"/>
      <c r="M144" s="38" t="s">
        <v>275</v>
      </c>
    </row>
    <row r="145" spans="1:16">
      <c r="A145" s="38">
        <v>11</v>
      </c>
      <c r="B145" s="38" t="s">
        <v>73</v>
      </c>
      <c r="C145" s="39" t="s">
        <v>16</v>
      </c>
      <c r="D145" s="39" t="s">
        <v>83</v>
      </c>
      <c r="E145" s="38">
        <f t="shared" ref="E145:F145" si="11">G145+I145+K145</f>
        <v>1</v>
      </c>
      <c r="F145" s="38">
        <f t="shared" si="11"/>
        <v>100</v>
      </c>
      <c r="G145" s="38">
        <v>1</v>
      </c>
      <c r="H145" s="38">
        <v>100</v>
      </c>
      <c r="I145" s="38"/>
      <c r="J145" s="38"/>
      <c r="K145" s="38"/>
      <c r="L145" s="38"/>
      <c r="M145" s="38"/>
    </row>
    <row r="146" spans="1:16">
      <c r="A146" s="38"/>
      <c r="B146" s="38" t="s">
        <v>95</v>
      </c>
      <c r="C146" s="39" t="s">
        <v>16</v>
      </c>
      <c r="D146" s="39" t="s">
        <v>83</v>
      </c>
      <c r="E146" s="38">
        <f>G146+I146+K146</f>
        <v>1</v>
      </c>
      <c r="F146" s="38">
        <f>H146+J146+L146</f>
        <v>44</v>
      </c>
      <c r="G146" s="38"/>
      <c r="H146" s="38"/>
      <c r="I146" s="38">
        <v>1</v>
      </c>
      <c r="J146" s="38">
        <v>44</v>
      </c>
      <c r="K146" s="38"/>
      <c r="L146" s="38"/>
      <c r="M146" s="38" t="s">
        <v>274</v>
      </c>
    </row>
    <row r="147" spans="1:16">
      <c r="A147" s="38">
        <v>12</v>
      </c>
      <c r="B147" s="38" t="s">
        <v>95</v>
      </c>
      <c r="C147" s="39" t="s">
        <v>16</v>
      </c>
      <c r="D147" s="39" t="s">
        <v>96</v>
      </c>
      <c r="E147" s="38">
        <f t="shared" ref="E147:F151" si="12">G147+I147+K147</f>
        <v>6</v>
      </c>
      <c r="F147" s="38">
        <f t="shared" si="12"/>
        <v>450</v>
      </c>
      <c r="G147" s="38"/>
      <c r="H147" s="38"/>
      <c r="I147" s="38">
        <v>6</v>
      </c>
      <c r="J147" s="38">
        <f>76+74+77+73+75+75</f>
        <v>450</v>
      </c>
      <c r="K147" s="38"/>
      <c r="L147" s="38"/>
      <c r="M147" s="38"/>
    </row>
    <row r="148" spans="1:16" s="11" customFormat="1">
      <c r="A148" s="38"/>
      <c r="B148" s="38" t="s">
        <v>108</v>
      </c>
      <c r="C148" s="39" t="s">
        <v>16</v>
      </c>
      <c r="D148" s="39" t="s">
        <v>96</v>
      </c>
      <c r="E148" s="38">
        <f>G148+I148+K148</f>
        <v>1</v>
      </c>
      <c r="F148" s="38">
        <f>H148+J148+L148</f>
        <v>79</v>
      </c>
      <c r="G148" s="38"/>
      <c r="H148" s="38"/>
      <c r="I148" s="38">
        <v>1</v>
      </c>
      <c r="J148" s="38">
        <v>79</v>
      </c>
      <c r="K148" s="38"/>
      <c r="L148" s="38"/>
      <c r="M148" s="38" t="s">
        <v>274</v>
      </c>
      <c r="P148" s="9"/>
    </row>
    <row r="149" spans="1:16">
      <c r="A149" s="38">
        <v>13</v>
      </c>
      <c r="B149" s="38" t="s">
        <v>95</v>
      </c>
      <c r="C149" s="39" t="s">
        <v>16</v>
      </c>
      <c r="D149" s="39" t="s">
        <v>356</v>
      </c>
      <c r="E149" s="38">
        <f t="shared" si="12"/>
        <v>1</v>
      </c>
      <c r="F149" s="38">
        <f t="shared" si="12"/>
        <v>88</v>
      </c>
      <c r="G149" s="38">
        <v>1</v>
      </c>
      <c r="H149" s="38">
        <v>88</v>
      </c>
      <c r="I149" s="38"/>
      <c r="J149" s="38"/>
      <c r="K149" s="38"/>
      <c r="L149" s="38"/>
      <c r="M149" s="38"/>
    </row>
    <row r="150" spans="1:16">
      <c r="A150" s="38">
        <v>14</v>
      </c>
      <c r="B150" s="38" t="s">
        <v>95</v>
      </c>
      <c r="C150" s="39" t="s">
        <v>16</v>
      </c>
      <c r="D150" s="39" t="s">
        <v>97</v>
      </c>
      <c r="E150" s="38">
        <f t="shared" si="12"/>
        <v>11</v>
      </c>
      <c r="F150" s="38">
        <f t="shared" si="12"/>
        <v>128</v>
      </c>
      <c r="G150" s="38">
        <v>1</v>
      </c>
      <c r="H150" s="38">
        <v>120</v>
      </c>
      <c r="I150" s="38"/>
      <c r="J150" s="38"/>
      <c r="K150" s="38">
        <v>10</v>
      </c>
      <c r="L150" s="38">
        <v>8</v>
      </c>
      <c r="M150" s="38"/>
    </row>
    <row r="151" spans="1:16">
      <c r="A151" s="38">
        <v>15</v>
      </c>
      <c r="B151" s="38" t="s">
        <v>108</v>
      </c>
      <c r="C151" s="39" t="s">
        <v>16</v>
      </c>
      <c r="D151" s="39" t="s">
        <v>146</v>
      </c>
      <c r="E151" s="38">
        <f t="shared" si="12"/>
        <v>1</v>
      </c>
      <c r="F151" s="38">
        <f t="shared" si="12"/>
        <v>65</v>
      </c>
      <c r="G151" s="38"/>
      <c r="H151" s="38"/>
      <c r="I151" s="38">
        <v>1</v>
      </c>
      <c r="J151" s="38">
        <v>65</v>
      </c>
      <c r="K151" s="38"/>
      <c r="L151" s="38"/>
      <c r="M151" s="38"/>
    </row>
    <row r="152" spans="1:16" s="11" customFormat="1">
      <c r="A152" s="38"/>
      <c r="B152" s="43">
        <v>45696</v>
      </c>
      <c r="C152" s="39" t="s">
        <v>16</v>
      </c>
      <c r="D152" s="39" t="s">
        <v>146</v>
      </c>
      <c r="E152" s="38">
        <f>G152+I152+K152</f>
        <v>1</v>
      </c>
      <c r="F152" s="38">
        <f>H152+J152+L152</f>
        <v>83</v>
      </c>
      <c r="G152" s="38">
        <v>1</v>
      </c>
      <c r="H152" s="38">
        <v>83</v>
      </c>
      <c r="I152" s="38"/>
      <c r="J152" s="38"/>
      <c r="K152" s="38"/>
      <c r="L152" s="38"/>
      <c r="M152" s="38" t="s">
        <v>274</v>
      </c>
    </row>
    <row r="153" spans="1:16">
      <c r="A153" s="38">
        <v>16</v>
      </c>
      <c r="B153" s="38" t="s">
        <v>118</v>
      </c>
      <c r="C153" s="39" t="s">
        <v>16</v>
      </c>
      <c r="D153" s="39" t="s">
        <v>120</v>
      </c>
      <c r="E153" s="38">
        <f t="shared" ref="E153:F166" si="13">G153+I153+K153</f>
        <v>1</v>
      </c>
      <c r="F153" s="38">
        <f t="shared" si="13"/>
        <v>210</v>
      </c>
      <c r="G153" s="38">
        <v>1</v>
      </c>
      <c r="H153" s="38">
        <v>210</v>
      </c>
      <c r="I153" s="38"/>
      <c r="J153" s="38"/>
      <c r="K153" s="38"/>
      <c r="L153" s="38"/>
      <c r="M153" s="38"/>
    </row>
    <row r="154" spans="1:16" s="11" customFormat="1">
      <c r="A154" s="38">
        <v>17</v>
      </c>
      <c r="B154" s="38" t="s">
        <v>118</v>
      </c>
      <c r="C154" s="39" t="s">
        <v>16</v>
      </c>
      <c r="D154" s="39" t="s">
        <v>343</v>
      </c>
      <c r="E154" s="38">
        <f t="shared" si="13"/>
        <v>2</v>
      </c>
      <c r="F154" s="38">
        <f t="shared" si="13"/>
        <v>144</v>
      </c>
      <c r="G154" s="38">
        <v>1</v>
      </c>
      <c r="H154" s="38">
        <v>92</v>
      </c>
      <c r="I154" s="38">
        <v>1</v>
      </c>
      <c r="J154" s="38">
        <v>52</v>
      </c>
      <c r="K154" s="38"/>
      <c r="L154" s="38"/>
      <c r="M154" s="38"/>
    </row>
    <row r="155" spans="1:16" s="12" customFormat="1">
      <c r="A155" s="38">
        <v>18</v>
      </c>
      <c r="B155" s="38" t="s">
        <v>118</v>
      </c>
      <c r="C155" s="39" t="s">
        <v>16</v>
      </c>
      <c r="D155" s="39" t="s">
        <v>121</v>
      </c>
      <c r="E155" s="38">
        <f t="shared" si="13"/>
        <v>16</v>
      </c>
      <c r="F155" s="38">
        <f t="shared" si="13"/>
        <v>262</v>
      </c>
      <c r="G155" s="38">
        <v>1</v>
      </c>
      <c r="H155" s="38">
        <v>115</v>
      </c>
      <c r="I155" s="38">
        <v>9</v>
      </c>
      <c r="J155" s="38">
        <f>36+39+36</f>
        <v>111</v>
      </c>
      <c r="K155" s="38">
        <v>6</v>
      </c>
      <c r="L155" s="38">
        <v>36</v>
      </c>
      <c r="M155" s="38"/>
    </row>
    <row r="156" spans="1:16">
      <c r="A156" s="38">
        <v>19</v>
      </c>
      <c r="B156" s="38" t="s">
        <v>118</v>
      </c>
      <c r="C156" s="39" t="s">
        <v>16</v>
      </c>
      <c r="D156" s="39" t="s">
        <v>122</v>
      </c>
      <c r="E156" s="38">
        <f t="shared" si="13"/>
        <v>11</v>
      </c>
      <c r="F156" s="38">
        <f t="shared" si="13"/>
        <v>258</v>
      </c>
      <c r="G156" s="38">
        <v>1</v>
      </c>
      <c r="H156" s="38">
        <v>218</v>
      </c>
      <c r="I156" s="38"/>
      <c r="J156" s="38"/>
      <c r="K156" s="38">
        <v>10</v>
      </c>
      <c r="L156" s="38">
        <v>40</v>
      </c>
      <c r="M156" s="38"/>
      <c r="N156" s="11"/>
    </row>
    <row r="157" spans="1:16" s="11" customFormat="1">
      <c r="A157" s="38"/>
      <c r="B157" s="38" t="s">
        <v>203</v>
      </c>
      <c r="C157" s="39" t="s">
        <v>16</v>
      </c>
      <c r="D157" s="39" t="s">
        <v>122</v>
      </c>
      <c r="E157" s="38">
        <f>G157+I157+K157</f>
        <v>2</v>
      </c>
      <c r="F157" s="38">
        <f>H157+J157+L157</f>
        <v>215</v>
      </c>
      <c r="G157" s="38">
        <v>2</v>
      </c>
      <c r="H157" s="38">
        <f>105+110</f>
        <v>215</v>
      </c>
      <c r="I157" s="38"/>
      <c r="J157" s="38"/>
      <c r="K157" s="38"/>
      <c r="L157" s="38"/>
      <c r="M157" s="38" t="s">
        <v>274</v>
      </c>
      <c r="N157" s="9"/>
    </row>
    <row r="158" spans="1:16" s="11" customFormat="1">
      <c r="A158" s="38">
        <v>20</v>
      </c>
      <c r="B158" s="38" t="s">
        <v>118</v>
      </c>
      <c r="C158" s="39" t="s">
        <v>16</v>
      </c>
      <c r="D158" s="39" t="s">
        <v>123</v>
      </c>
      <c r="E158" s="38">
        <f t="shared" si="13"/>
        <v>2</v>
      </c>
      <c r="F158" s="38">
        <f t="shared" si="13"/>
        <v>39</v>
      </c>
      <c r="G158" s="38"/>
      <c r="H158" s="38"/>
      <c r="I158" s="38">
        <v>2</v>
      </c>
      <c r="J158" s="38">
        <f>19+20</f>
        <v>39</v>
      </c>
      <c r="K158" s="38"/>
      <c r="L158" s="38"/>
      <c r="M158" s="38"/>
    </row>
    <row r="159" spans="1:16" s="11" customFormat="1">
      <c r="A159" s="38"/>
      <c r="B159" s="43">
        <v>45696</v>
      </c>
      <c r="C159" s="39" t="s">
        <v>16</v>
      </c>
      <c r="D159" s="39" t="s">
        <v>123</v>
      </c>
      <c r="E159" s="38">
        <f>G159+I159+K159</f>
        <v>5</v>
      </c>
      <c r="F159" s="38">
        <f>H159+J159+L159</f>
        <v>125</v>
      </c>
      <c r="G159" s="38"/>
      <c r="H159" s="38"/>
      <c r="I159" s="38">
        <v>5</v>
      </c>
      <c r="J159" s="38">
        <f>25+27+23+26+24</f>
        <v>125</v>
      </c>
      <c r="K159" s="38"/>
      <c r="L159" s="38"/>
      <c r="M159" s="38" t="s">
        <v>274</v>
      </c>
      <c r="N159" s="9"/>
    </row>
    <row r="160" spans="1:16">
      <c r="A160" s="38">
        <v>21</v>
      </c>
      <c r="B160" s="38" t="s">
        <v>118</v>
      </c>
      <c r="C160" s="39" t="s">
        <v>16</v>
      </c>
      <c r="D160" s="39" t="s">
        <v>124</v>
      </c>
      <c r="E160" s="38">
        <f t="shared" si="13"/>
        <v>2</v>
      </c>
      <c r="F160" s="38">
        <f t="shared" si="13"/>
        <v>85</v>
      </c>
      <c r="G160" s="38"/>
      <c r="H160" s="38"/>
      <c r="I160" s="38">
        <v>2</v>
      </c>
      <c r="J160" s="38">
        <f>42+43</f>
        <v>85</v>
      </c>
      <c r="K160" s="38"/>
      <c r="L160" s="38"/>
      <c r="M160" s="38"/>
      <c r="N160" s="11"/>
    </row>
    <row r="161" spans="1:14">
      <c r="A161" s="38">
        <v>22</v>
      </c>
      <c r="B161" s="43">
        <v>45696</v>
      </c>
      <c r="C161" s="39" t="s">
        <v>16</v>
      </c>
      <c r="D161" s="39" t="s">
        <v>144</v>
      </c>
      <c r="E161" s="38">
        <f t="shared" si="13"/>
        <v>1</v>
      </c>
      <c r="F161" s="38">
        <f t="shared" si="13"/>
        <v>101</v>
      </c>
      <c r="G161" s="38">
        <v>1</v>
      </c>
      <c r="H161" s="38">
        <v>101</v>
      </c>
      <c r="I161" s="38"/>
      <c r="J161" s="38"/>
      <c r="K161" s="38"/>
      <c r="L161" s="38"/>
      <c r="M161" s="38"/>
    </row>
    <row r="162" spans="1:14" s="11" customFormat="1">
      <c r="A162" s="38">
        <v>23</v>
      </c>
      <c r="B162" s="43">
        <v>45696</v>
      </c>
      <c r="C162" s="39" t="s">
        <v>16</v>
      </c>
      <c r="D162" s="92" t="s">
        <v>346</v>
      </c>
      <c r="E162" s="38">
        <f t="shared" si="13"/>
        <v>6</v>
      </c>
      <c r="F162" s="38">
        <f t="shared" si="13"/>
        <v>209</v>
      </c>
      <c r="G162" s="38">
        <f>2</f>
        <v>2</v>
      </c>
      <c r="H162" s="38">
        <f>122+79</f>
        <v>201</v>
      </c>
      <c r="I162" s="38"/>
      <c r="J162" s="38"/>
      <c r="K162" s="38">
        <v>4</v>
      </c>
      <c r="L162" s="38">
        <v>8</v>
      </c>
      <c r="M162" s="38"/>
    </row>
    <row r="163" spans="1:14">
      <c r="A163" s="38"/>
      <c r="B163" s="43">
        <v>45755</v>
      </c>
      <c r="C163" s="39" t="s">
        <v>16</v>
      </c>
      <c r="D163" s="92" t="s">
        <v>346</v>
      </c>
      <c r="E163" s="38">
        <f>G163+I163+K163</f>
        <v>9</v>
      </c>
      <c r="F163" s="38">
        <f>H163+J163+L163</f>
        <v>390</v>
      </c>
      <c r="G163" s="38">
        <v>2</v>
      </c>
      <c r="H163" s="38">
        <f>97+92</f>
        <v>189</v>
      </c>
      <c r="I163" s="38">
        <v>7</v>
      </c>
      <c r="J163" s="38">
        <f>50+52+48+51</f>
        <v>201</v>
      </c>
      <c r="K163" s="38"/>
      <c r="L163" s="38"/>
      <c r="M163" s="38" t="s">
        <v>274</v>
      </c>
    </row>
    <row r="164" spans="1:14" s="11" customFormat="1">
      <c r="A164" s="38">
        <v>24</v>
      </c>
      <c r="B164" s="43">
        <v>45696</v>
      </c>
      <c r="C164" s="39" t="s">
        <v>16</v>
      </c>
      <c r="D164" s="39" t="s">
        <v>145</v>
      </c>
      <c r="E164" s="38">
        <f t="shared" si="13"/>
        <v>42</v>
      </c>
      <c r="F164" s="38">
        <f t="shared" si="13"/>
        <v>1085</v>
      </c>
      <c r="G164" s="38">
        <v>4</v>
      </c>
      <c r="H164" s="38">
        <f>144+217+175+133</f>
        <v>669</v>
      </c>
      <c r="I164" s="38">
        <f>4+4+4+4+4+4</f>
        <v>24</v>
      </c>
      <c r="J164" s="38">
        <f>60+62+58+60+58+62</f>
        <v>360</v>
      </c>
      <c r="K164" s="38">
        <v>14</v>
      </c>
      <c r="L164" s="38">
        <v>56</v>
      </c>
      <c r="M164" s="38"/>
    </row>
    <row r="165" spans="1:14" s="11" customFormat="1">
      <c r="A165" s="38">
        <v>25</v>
      </c>
      <c r="B165" s="43">
        <v>45724</v>
      </c>
      <c r="C165" s="39" t="s">
        <v>16</v>
      </c>
      <c r="D165" s="39" t="s">
        <v>151</v>
      </c>
      <c r="E165" s="38">
        <f t="shared" si="13"/>
        <v>38</v>
      </c>
      <c r="F165" s="38">
        <f t="shared" si="13"/>
        <v>4018</v>
      </c>
      <c r="G165" s="38">
        <v>5</v>
      </c>
      <c r="H165" s="38">
        <f>203+215+200+201+116</f>
        <v>935</v>
      </c>
      <c r="I165" s="38">
        <v>33</v>
      </c>
      <c r="J165" s="38">
        <f>127+129+125+130+124+128+126+127+127+128+126+108+110+109+107+121+105+108+108+110+106+94+96+92+104+106+102</f>
        <v>3083</v>
      </c>
      <c r="K165" s="38"/>
      <c r="L165" s="38"/>
      <c r="M165" s="38"/>
      <c r="N165" s="9"/>
    </row>
    <row r="166" spans="1:14" s="11" customFormat="1">
      <c r="A166" s="38">
        <v>26</v>
      </c>
      <c r="B166" s="43">
        <v>45755</v>
      </c>
      <c r="C166" s="39" t="s">
        <v>16</v>
      </c>
      <c r="D166" s="39" t="s">
        <v>157</v>
      </c>
      <c r="E166" s="38">
        <f t="shared" si="13"/>
        <v>4</v>
      </c>
      <c r="F166" s="38">
        <f t="shared" si="13"/>
        <v>632</v>
      </c>
      <c r="G166" s="38">
        <f>4</f>
        <v>4</v>
      </c>
      <c r="H166" s="38">
        <f>64+198+196+174</f>
        <v>632</v>
      </c>
      <c r="I166" s="38"/>
      <c r="J166" s="38"/>
      <c r="K166" s="38"/>
      <c r="L166" s="38"/>
      <c r="M166" s="38"/>
    </row>
    <row r="167" spans="1:14">
      <c r="A167" s="38"/>
      <c r="B167" s="43">
        <v>45908</v>
      </c>
      <c r="C167" s="39" t="s">
        <v>16</v>
      </c>
      <c r="D167" s="39" t="s">
        <v>157</v>
      </c>
      <c r="E167" s="38">
        <f>G167+I167+K167</f>
        <v>40</v>
      </c>
      <c r="F167" s="38">
        <f>H167+J167+L167</f>
        <v>439</v>
      </c>
      <c r="G167" s="38">
        <v>1</v>
      </c>
      <c r="H167" s="38">
        <v>205</v>
      </c>
      <c r="I167" s="38">
        <f>39</f>
        <v>39</v>
      </c>
      <c r="J167" s="38">
        <f>58+62+59+55</f>
        <v>234</v>
      </c>
      <c r="K167" s="38"/>
      <c r="L167" s="38"/>
      <c r="M167" s="38" t="s">
        <v>274</v>
      </c>
    </row>
    <row r="168" spans="1:14">
      <c r="A168" s="38"/>
      <c r="B168" s="38" t="s">
        <v>205</v>
      </c>
      <c r="C168" s="39" t="s">
        <v>16</v>
      </c>
      <c r="D168" s="39" t="s">
        <v>157</v>
      </c>
      <c r="E168" s="38">
        <f>G168+I168+K168</f>
        <v>2</v>
      </c>
      <c r="F168" s="38">
        <f>H168+J168+L168</f>
        <v>333</v>
      </c>
      <c r="G168" s="38">
        <v>2</v>
      </c>
      <c r="H168" s="38">
        <f>171+162</f>
        <v>333</v>
      </c>
      <c r="I168" s="38"/>
      <c r="J168" s="38"/>
      <c r="K168" s="38"/>
      <c r="L168" s="38"/>
      <c r="M168" s="38" t="s">
        <v>275</v>
      </c>
      <c r="N168" s="11"/>
    </row>
    <row r="169" spans="1:14">
      <c r="A169" s="38">
        <v>27</v>
      </c>
      <c r="B169" s="43">
        <v>45755</v>
      </c>
      <c r="C169" s="39" t="s">
        <v>16</v>
      </c>
      <c r="D169" s="39" t="s">
        <v>158</v>
      </c>
      <c r="E169" s="38">
        <f t="shared" ref="E169:F193" si="14">G169+I169+K169</f>
        <v>22</v>
      </c>
      <c r="F169" s="38">
        <f t="shared" si="14"/>
        <v>285</v>
      </c>
      <c r="G169" s="38">
        <v>2</v>
      </c>
      <c r="H169" s="38">
        <f>130+135</f>
        <v>265</v>
      </c>
      <c r="I169" s="38"/>
      <c r="J169" s="38"/>
      <c r="K169" s="38">
        <v>20</v>
      </c>
      <c r="L169" s="38">
        <v>20</v>
      </c>
      <c r="M169" s="38"/>
    </row>
    <row r="170" spans="1:14" s="12" customFormat="1">
      <c r="A170" s="38"/>
      <c r="B170" s="38" t="s">
        <v>205</v>
      </c>
      <c r="C170" s="39" t="s">
        <v>16</v>
      </c>
      <c r="D170" s="39" t="s">
        <v>207</v>
      </c>
      <c r="E170" s="38">
        <f>G170+I170+K170</f>
        <v>2</v>
      </c>
      <c r="F170" s="38">
        <f>H170+J170+L170</f>
        <v>82</v>
      </c>
      <c r="G170" s="38"/>
      <c r="H170" s="38"/>
      <c r="I170" s="38">
        <v>2</v>
      </c>
      <c r="J170" s="38">
        <f>36+46</f>
        <v>82</v>
      </c>
      <c r="K170" s="38"/>
      <c r="L170" s="38"/>
      <c r="M170" s="38" t="s">
        <v>274</v>
      </c>
      <c r="N170" s="14"/>
    </row>
    <row r="171" spans="1:14">
      <c r="A171" s="38">
        <v>28</v>
      </c>
      <c r="B171" s="43">
        <v>45755</v>
      </c>
      <c r="C171" s="39" t="s">
        <v>16</v>
      </c>
      <c r="D171" s="39" t="s">
        <v>159</v>
      </c>
      <c r="E171" s="38">
        <f t="shared" si="14"/>
        <v>2</v>
      </c>
      <c r="F171" s="38">
        <f t="shared" si="14"/>
        <v>49</v>
      </c>
      <c r="G171" s="38"/>
      <c r="H171" s="38"/>
      <c r="I171" s="38">
        <v>2</v>
      </c>
      <c r="J171" s="38">
        <f>25+24</f>
        <v>49</v>
      </c>
      <c r="K171" s="38"/>
      <c r="L171" s="38"/>
      <c r="M171" s="38"/>
    </row>
    <row r="172" spans="1:14">
      <c r="A172" s="38">
        <v>29</v>
      </c>
      <c r="B172" s="43">
        <v>45755</v>
      </c>
      <c r="C172" s="39" t="s">
        <v>16</v>
      </c>
      <c r="D172" s="39" t="s">
        <v>347</v>
      </c>
      <c r="E172" s="38">
        <f t="shared" si="14"/>
        <v>2</v>
      </c>
      <c r="F172" s="38">
        <f t="shared" si="14"/>
        <v>168</v>
      </c>
      <c r="G172" s="38">
        <v>1</v>
      </c>
      <c r="H172" s="38">
        <v>133</v>
      </c>
      <c r="I172" s="38">
        <v>1</v>
      </c>
      <c r="J172" s="38">
        <v>35</v>
      </c>
      <c r="K172" s="38"/>
      <c r="L172" s="38"/>
      <c r="M172" s="38"/>
      <c r="N172" s="11"/>
    </row>
    <row r="173" spans="1:14">
      <c r="A173" s="38">
        <v>30</v>
      </c>
      <c r="B173" s="43">
        <v>45785</v>
      </c>
      <c r="C173" s="39" t="s">
        <v>16</v>
      </c>
      <c r="D173" s="39" t="s">
        <v>162</v>
      </c>
      <c r="E173" s="38">
        <f t="shared" si="14"/>
        <v>1</v>
      </c>
      <c r="F173" s="38">
        <f t="shared" si="14"/>
        <v>80</v>
      </c>
      <c r="G173" s="38">
        <v>1</v>
      </c>
      <c r="H173" s="38">
        <v>80</v>
      </c>
      <c r="I173" s="38"/>
      <c r="J173" s="38"/>
      <c r="K173" s="38"/>
      <c r="L173" s="38"/>
      <c r="M173" s="38"/>
    </row>
    <row r="174" spans="1:14">
      <c r="A174" s="38"/>
      <c r="B174" s="43">
        <v>45908</v>
      </c>
      <c r="C174" s="39" t="s">
        <v>16</v>
      </c>
      <c r="D174" s="39" t="s">
        <v>162</v>
      </c>
      <c r="E174" s="38">
        <f>G174+I174+K174</f>
        <v>15</v>
      </c>
      <c r="F174" s="38">
        <f>H174+J174+L174</f>
        <v>477</v>
      </c>
      <c r="G174" s="38">
        <v>2</v>
      </c>
      <c r="H174" s="38">
        <f>64+63</f>
        <v>127</v>
      </c>
      <c r="I174" s="38">
        <v>5</v>
      </c>
      <c r="J174" s="38">
        <f>62+64+63+60+61</f>
        <v>310</v>
      </c>
      <c r="K174" s="38">
        <v>8</v>
      </c>
      <c r="L174" s="38">
        <v>40</v>
      </c>
      <c r="M174" s="38" t="s">
        <v>274</v>
      </c>
    </row>
    <row r="175" spans="1:14" s="11" customFormat="1">
      <c r="A175" s="38"/>
      <c r="B175" s="38" t="s">
        <v>199</v>
      </c>
      <c r="C175" s="39" t="s">
        <v>16</v>
      </c>
      <c r="D175" s="39" t="s">
        <v>162</v>
      </c>
      <c r="E175" s="38">
        <f>G175+I175+K175</f>
        <v>1</v>
      </c>
      <c r="F175" s="38">
        <f>H175+J175+L175</f>
        <v>45</v>
      </c>
      <c r="G175" s="38"/>
      <c r="H175" s="38"/>
      <c r="I175" s="38">
        <v>1</v>
      </c>
      <c r="J175" s="38">
        <v>45</v>
      </c>
      <c r="K175" s="38"/>
      <c r="L175" s="38"/>
      <c r="M175" s="38" t="s">
        <v>275</v>
      </c>
    </row>
    <row r="176" spans="1:14" s="11" customFormat="1">
      <c r="A176" s="38">
        <v>31</v>
      </c>
      <c r="B176" s="43">
        <v>45785</v>
      </c>
      <c r="C176" s="39" t="s">
        <v>16</v>
      </c>
      <c r="D176" s="39" t="s">
        <v>163</v>
      </c>
      <c r="E176" s="38">
        <f t="shared" si="14"/>
        <v>39</v>
      </c>
      <c r="F176" s="38">
        <f t="shared" si="14"/>
        <v>1265</v>
      </c>
      <c r="G176" s="38">
        <v>4</v>
      </c>
      <c r="H176" s="38">
        <f>85+107+105+100</f>
        <v>397</v>
      </c>
      <c r="I176" s="38">
        <f>5+8</f>
        <v>13</v>
      </c>
      <c r="J176" s="38">
        <f>44+45+43+43+44+74+73+71+70+75+72+71+71</f>
        <v>796</v>
      </c>
      <c r="K176" s="38">
        <f>10+12</f>
        <v>22</v>
      </c>
      <c r="L176" s="38">
        <f>60+12</f>
        <v>72</v>
      </c>
      <c r="M176" s="38"/>
    </row>
    <row r="177" spans="1:13">
      <c r="A177" s="38">
        <v>32</v>
      </c>
      <c r="B177" s="43">
        <v>45785</v>
      </c>
      <c r="C177" s="39" t="s">
        <v>16</v>
      </c>
      <c r="D177" s="39" t="s">
        <v>164</v>
      </c>
      <c r="E177" s="38">
        <f t="shared" si="14"/>
        <v>10</v>
      </c>
      <c r="F177" s="38">
        <f t="shared" si="14"/>
        <v>555</v>
      </c>
      <c r="G177" s="38"/>
      <c r="H177" s="38"/>
      <c r="I177" s="38">
        <v>10</v>
      </c>
      <c r="J177" s="38">
        <f>55+56+57+55+59+55+60+59+50+49</f>
        <v>555</v>
      </c>
      <c r="K177" s="38"/>
      <c r="L177" s="38"/>
      <c r="M177" s="38"/>
    </row>
    <row r="178" spans="1:13" s="11" customFormat="1">
      <c r="A178" s="38">
        <v>33</v>
      </c>
      <c r="B178" s="43">
        <v>45785</v>
      </c>
      <c r="C178" s="39" t="s">
        <v>16</v>
      </c>
      <c r="D178" s="39" t="s">
        <v>165</v>
      </c>
      <c r="E178" s="38">
        <f t="shared" si="14"/>
        <v>11</v>
      </c>
      <c r="F178" s="38">
        <f t="shared" si="14"/>
        <v>772</v>
      </c>
      <c r="G178" s="38"/>
      <c r="H178" s="38"/>
      <c r="I178" s="38">
        <v>11</v>
      </c>
      <c r="J178" s="38">
        <f>69+71+70+67+71+69+69+72+66+70+78</f>
        <v>772</v>
      </c>
      <c r="K178" s="38"/>
      <c r="L178" s="38"/>
      <c r="M178" s="38"/>
    </row>
    <row r="179" spans="1:13">
      <c r="A179" s="38">
        <v>34</v>
      </c>
      <c r="B179" s="43">
        <v>45785</v>
      </c>
      <c r="C179" s="39" t="s">
        <v>16</v>
      </c>
      <c r="D179" s="39" t="s">
        <v>349</v>
      </c>
      <c r="E179" s="38">
        <f t="shared" si="14"/>
        <v>1</v>
      </c>
      <c r="F179" s="38">
        <f t="shared" si="14"/>
        <v>257</v>
      </c>
      <c r="G179" s="38">
        <v>1</v>
      </c>
      <c r="H179" s="38">
        <v>257</v>
      </c>
      <c r="I179" s="38"/>
      <c r="J179" s="38"/>
      <c r="K179" s="38"/>
      <c r="L179" s="38"/>
      <c r="M179" s="38"/>
    </row>
    <row r="180" spans="1:13">
      <c r="A180" s="38"/>
      <c r="B180" s="43">
        <v>45938</v>
      </c>
      <c r="C180" s="39" t="s">
        <v>16</v>
      </c>
      <c r="D180" s="39" t="s">
        <v>349</v>
      </c>
      <c r="E180" s="38">
        <f>G180+I180+K180</f>
        <v>14</v>
      </c>
      <c r="F180" s="38">
        <f>H180+J180+L180</f>
        <v>934</v>
      </c>
      <c r="G180" s="38">
        <v>1</v>
      </c>
      <c r="H180" s="38">
        <v>127</v>
      </c>
      <c r="I180" s="38">
        <v>13</v>
      </c>
      <c r="J180" s="38">
        <f>121+129+125+126+121+123+62</f>
        <v>807</v>
      </c>
      <c r="K180" s="38"/>
      <c r="L180" s="38"/>
      <c r="M180" s="38" t="s">
        <v>274</v>
      </c>
    </row>
    <row r="181" spans="1:13">
      <c r="A181" s="38">
        <v>35</v>
      </c>
      <c r="B181" s="43">
        <v>45785</v>
      </c>
      <c r="C181" s="39" t="s">
        <v>16</v>
      </c>
      <c r="D181" s="39" t="s">
        <v>166</v>
      </c>
      <c r="E181" s="38">
        <f t="shared" si="14"/>
        <v>6</v>
      </c>
      <c r="F181" s="38">
        <f t="shared" si="14"/>
        <v>747</v>
      </c>
      <c r="G181" s="38">
        <v>4</v>
      </c>
      <c r="H181" s="38">
        <f>140+220+183+134</f>
        <v>677</v>
      </c>
      <c r="I181" s="38">
        <v>2</v>
      </c>
      <c r="J181" s="38">
        <f>47+23</f>
        <v>70</v>
      </c>
      <c r="K181" s="38"/>
      <c r="L181" s="38"/>
      <c r="M181" s="38"/>
    </row>
    <row r="182" spans="1:13" s="11" customFormat="1">
      <c r="A182" s="38">
        <v>36</v>
      </c>
      <c r="B182" s="43">
        <v>45816</v>
      </c>
      <c r="C182" s="39" t="s">
        <v>16</v>
      </c>
      <c r="D182" s="39" t="s">
        <v>350</v>
      </c>
      <c r="E182" s="38">
        <f t="shared" si="14"/>
        <v>9</v>
      </c>
      <c r="F182" s="38">
        <f t="shared" si="14"/>
        <v>1014</v>
      </c>
      <c r="G182" s="38"/>
      <c r="H182" s="38"/>
      <c r="I182" s="38">
        <v>9</v>
      </c>
      <c r="J182" s="38">
        <f>111+113+109+112+110+111+112+120+116</f>
        <v>1014</v>
      </c>
      <c r="K182" s="38"/>
      <c r="L182" s="38"/>
      <c r="M182" s="38"/>
    </row>
    <row r="183" spans="1:13" s="14" customFormat="1">
      <c r="A183" s="38">
        <v>37</v>
      </c>
      <c r="B183" s="43">
        <v>45816</v>
      </c>
      <c r="C183" s="39" t="s">
        <v>16</v>
      </c>
      <c r="D183" s="39" t="s">
        <v>171</v>
      </c>
      <c r="E183" s="38">
        <f t="shared" si="14"/>
        <v>1</v>
      </c>
      <c r="F183" s="38">
        <f t="shared" si="14"/>
        <v>151</v>
      </c>
      <c r="G183" s="38">
        <v>1</v>
      </c>
      <c r="H183" s="38">
        <v>151</v>
      </c>
      <c r="I183" s="38"/>
      <c r="J183" s="38"/>
      <c r="K183" s="38"/>
      <c r="L183" s="38"/>
      <c r="M183" s="38"/>
    </row>
    <row r="184" spans="1:13">
      <c r="A184" s="38"/>
      <c r="B184" s="43">
        <v>45877</v>
      </c>
      <c r="C184" s="39" t="s">
        <v>16</v>
      </c>
      <c r="D184" s="39" t="s">
        <v>171</v>
      </c>
      <c r="E184" s="38">
        <f>G184+I184+K184</f>
        <v>10</v>
      </c>
      <c r="F184" s="38">
        <f>H184+J184+L184</f>
        <v>290</v>
      </c>
      <c r="G184" s="38"/>
      <c r="H184" s="38"/>
      <c r="I184" s="38">
        <v>10</v>
      </c>
      <c r="J184" s="38">
        <f>56+58+54+55+67</f>
        <v>290</v>
      </c>
      <c r="K184" s="38"/>
      <c r="L184" s="38"/>
      <c r="M184" s="38" t="s">
        <v>274</v>
      </c>
    </row>
    <row r="185" spans="1:13" s="11" customFormat="1">
      <c r="A185" s="38">
        <v>38</v>
      </c>
      <c r="B185" s="43">
        <v>45816</v>
      </c>
      <c r="C185" s="39" t="s">
        <v>16</v>
      </c>
      <c r="D185" s="39" t="s">
        <v>172</v>
      </c>
      <c r="E185" s="38">
        <f t="shared" si="14"/>
        <v>7</v>
      </c>
      <c r="F185" s="38">
        <f t="shared" si="14"/>
        <v>92</v>
      </c>
      <c r="G185" s="38">
        <v>1</v>
      </c>
      <c r="H185" s="38">
        <v>86</v>
      </c>
      <c r="I185" s="38"/>
      <c r="J185" s="38"/>
      <c r="K185" s="38">
        <v>6</v>
      </c>
      <c r="L185" s="38">
        <v>6</v>
      </c>
      <c r="M185" s="38"/>
    </row>
    <row r="186" spans="1:13" s="11" customFormat="1">
      <c r="A186" s="38"/>
      <c r="B186" s="43">
        <v>45969</v>
      </c>
      <c r="C186" s="39" t="s">
        <v>16</v>
      </c>
      <c r="D186" s="39" t="s">
        <v>172</v>
      </c>
      <c r="E186" s="38">
        <f t="shared" si="14"/>
        <v>11</v>
      </c>
      <c r="F186" s="38">
        <f t="shared" si="14"/>
        <v>130</v>
      </c>
      <c r="G186" s="38">
        <v>1</v>
      </c>
      <c r="H186" s="38">
        <v>123</v>
      </c>
      <c r="I186" s="38"/>
      <c r="J186" s="38"/>
      <c r="K186" s="38">
        <v>10</v>
      </c>
      <c r="L186" s="38">
        <v>7</v>
      </c>
      <c r="M186" s="38" t="s">
        <v>274</v>
      </c>
    </row>
    <row r="187" spans="1:13">
      <c r="A187" s="38"/>
      <c r="B187" s="38" t="s">
        <v>221</v>
      </c>
      <c r="C187" s="39" t="s">
        <v>16</v>
      </c>
      <c r="D187" s="39" t="s">
        <v>172</v>
      </c>
      <c r="E187" s="38">
        <f t="shared" si="14"/>
        <v>2</v>
      </c>
      <c r="F187" s="38">
        <f t="shared" si="14"/>
        <v>218</v>
      </c>
      <c r="G187" s="38">
        <v>2</v>
      </c>
      <c r="H187" s="38">
        <f>107+111</f>
        <v>218</v>
      </c>
      <c r="I187" s="38"/>
      <c r="J187" s="38"/>
      <c r="K187" s="38"/>
      <c r="L187" s="38"/>
      <c r="M187" s="38" t="s">
        <v>275</v>
      </c>
    </row>
    <row r="188" spans="1:13">
      <c r="A188" s="38"/>
      <c r="B188" s="38" t="s">
        <v>239</v>
      </c>
      <c r="C188" s="39" t="s">
        <v>16</v>
      </c>
      <c r="D188" s="39" t="s">
        <v>172</v>
      </c>
      <c r="E188" s="38">
        <f t="shared" si="14"/>
        <v>10</v>
      </c>
      <c r="F188" s="38">
        <f t="shared" si="14"/>
        <v>170</v>
      </c>
      <c r="G188" s="38"/>
      <c r="H188" s="38"/>
      <c r="I188" s="38">
        <v>10</v>
      </c>
      <c r="J188" s="38">
        <f>32+36+34+36+32</f>
        <v>170</v>
      </c>
      <c r="K188" s="38"/>
      <c r="L188" s="38"/>
      <c r="M188" s="38" t="s">
        <v>276</v>
      </c>
    </row>
    <row r="189" spans="1:13">
      <c r="A189" s="38">
        <v>39</v>
      </c>
      <c r="B189" s="43">
        <v>45816</v>
      </c>
      <c r="C189" s="39" t="s">
        <v>16</v>
      </c>
      <c r="D189" s="39" t="s">
        <v>173</v>
      </c>
      <c r="E189" s="38">
        <f t="shared" si="14"/>
        <v>1</v>
      </c>
      <c r="F189" s="38">
        <f t="shared" si="14"/>
        <v>106</v>
      </c>
      <c r="G189" s="38">
        <v>1</v>
      </c>
      <c r="H189" s="38">
        <v>106</v>
      </c>
      <c r="I189" s="38"/>
      <c r="J189" s="38"/>
      <c r="K189" s="38"/>
      <c r="L189" s="38"/>
      <c r="M189" s="38"/>
    </row>
    <row r="190" spans="1:13">
      <c r="A190" s="38"/>
      <c r="B190" s="38" t="s">
        <v>229</v>
      </c>
      <c r="C190" s="39" t="s">
        <v>16</v>
      </c>
      <c r="D190" s="39" t="s">
        <v>173</v>
      </c>
      <c r="E190" s="38">
        <f t="shared" si="14"/>
        <v>2</v>
      </c>
      <c r="F190" s="38">
        <f t="shared" si="14"/>
        <v>126</v>
      </c>
      <c r="G190" s="38"/>
      <c r="H190" s="38"/>
      <c r="I190" s="38">
        <v>2</v>
      </c>
      <c r="J190" s="38">
        <f>62+64</f>
        <v>126</v>
      </c>
      <c r="K190" s="38"/>
      <c r="L190" s="38"/>
      <c r="M190" s="38" t="s">
        <v>274</v>
      </c>
    </row>
    <row r="191" spans="1:13" s="11" customFormat="1">
      <c r="A191" s="38"/>
      <c r="B191" s="38" t="s">
        <v>239</v>
      </c>
      <c r="C191" s="39" t="s">
        <v>16</v>
      </c>
      <c r="D191" s="39" t="s">
        <v>173</v>
      </c>
      <c r="E191" s="38">
        <f t="shared" si="14"/>
        <v>10</v>
      </c>
      <c r="F191" s="38">
        <f t="shared" si="14"/>
        <v>731</v>
      </c>
      <c r="G191" s="38"/>
      <c r="H191" s="38"/>
      <c r="I191" s="38">
        <v>10</v>
      </c>
      <c r="J191" s="38">
        <f>59+61+60+58+62+59+63+60+122+127</f>
        <v>731</v>
      </c>
      <c r="K191" s="38"/>
      <c r="L191" s="38"/>
      <c r="M191" s="38" t="s">
        <v>275</v>
      </c>
    </row>
    <row r="192" spans="1:13" s="11" customFormat="1">
      <c r="A192" s="38">
        <v>40</v>
      </c>
      <c r="B192" s="43">
        <v>45816</v>
      </c>
      <c r="C192" s="39" t="s">
        <v>16</v>
      </c>
      <c r="D192" s="39" t="s">
        <v>174</v>
      </c>
      <c r="E192" s="38">
        <f t="shared" si="14"/>
        <v>2</v>
      </c>
      <c r="F192" s="38">
        <f t="shared" si="14"/>
        <v>150</v>
      </c>
      <c r="G192" s="38">
        <v>2</v>
      </c>
      <c r="H192" s="38">
        <f>97+53</f>
        <v>150</v>
      </c>
      <c r="I192" s="38"/>
      <c r="J192" s="38"/>
      <c r="K192" s="38"/>
      <c r="L192" s="38"/>
      <c r="M192" s="38"/>
    </row>
    <row r="193" spans="1:13" s="11" customFormat="1">
      <c r="A193" s="38">
        <v>41</v>
      </c>
      <c r="B193" s="43">
        <v>45816</v>
      </c>
      <c r="C193" s="39" t="s">
        <v>16</v>
      </c>
      <c r="D193" s="39" t="s">
        <v>175</v>
      </c>
      <c r="E193" s="38">
        <f t="shared" si="14"/>
        <v>19</v>
      </c>
      <c r="F193" s="38">
        <f t="shared" si="14"/>
        <v>1843</v>
      </c>
      <c r="G193" s="38">
        <f>1+2</f>
        <v>3</v>
      </c>
      <c r="H193" s="38">
        <f>186+254+194</f>
        <v>634</v>
      </c>
      <c r="I193" s="38">
        <v>16</v>
      </c>
      <c r="J193" s="38">
        <f>75+77+73+76+74+78+72+75+75+76+74+78+72+75+75+84</f>
        <v>1209</v>
      </c>
      <c r="K193" s="38"/>
      <c r="L193" s="38"/>
      <c r="M193" s="38"/>
    </row>
    <row r="194" spans="1:13" s="11" customFormat="1">
      <c r="A194" s="38"/>
      <c r="B194" s="43">
        <v>45908</v>
      </c>
      <c r="C194" s="39" t="s">
        <v>16</v>
      </c>
      <c r="D194" s="39" t="s">
        <v>175</v>
      </c>
      <c r="E194" s="38">
        <f>G194+I194+K194</f>
        <v>45</v>
      </c>
      <c r="F194" s="38">
        <f>H194+J194+L194</f>
        <v>1813</v>
      </c>
      <c r="G194" s="38"/>
      <c r="H194" s="38"/>
      <c r="I194" s="38">
        <v>45</v>
      </c>
      <c r="J194" s="38">
        <f>20+82+84+80+85+79+82+84+80+85+79+82+82+84+90+85+89+82+82+76+76+80+65</f>
        <v>1813</v>
      </c>
      <c r="K194" s="38"/>
      <c r="L194" s="38"/>
      <c r="M194" s="38" t="s">
        <v>274</v>
      </c>
    </row>
    <row r="195" spans="1:13">
      <c r="A195" s="38">
        <v>42</v>
      </c>
      <c r="B195" s="43">
        <v>45877</v>
      </c>
      <c r="C195" s="39" t="s">
        <v>16</v>
      </c>
      <c r="D195" s="39" t="s">
        <v>244</v>
      </c>
      <c r="E195" s="38">
        <f t="shared" ref="E195:F204" si="15">G195+I195+K195</f>
        <v>1</v>
      </c>
      <c r="F195" s="38">
        <f t="shared" si="15"/>
        <v>74</v>
      </c>
      <c r="G195" s="38">
        <v>1</v>
      </c>
      <c r="H195" s="38">
        <v>74</v>
      </c>
      <c r="I195" s="38"/>
      <c r="J195" s="38"/>
      <c r="K195" s="38"/>
      <c r="L195" s="38"/>
      <c r="M195" s="38" t="s">
        <v>279</v>
      </c>
    </row>
    <row r="196" spans="1:13" s="11" customFormat="1">
      <c r="A196" s="38">
        <v>43</v>
      </c>
      <c r="B196" s="43">
        <v>45908</v>
      </c>
      <c r="C196" s="39" t="s">
        <v>16</v>
      </c>
      <c r="D196" s="39" t="s">
        <v>182</v>
      </c>
      <c r="E196" s="38">
        <f t="shared" si="15"/>
        <v>1</v>
      </c>
      <c r="F196" s="38">
        <f t="shared" si="15"/>
        <v>41</v>
      </c>
      <c r="G196" s="38"/>
      <c r="H196" s="38"/>
      <c r="I196" s="38">
        <v>1</v>
      </c>
      <c r="J196" s="38">
        <v>41</v>
      </c>
      <c r="K196" s="38"/>
      <c r="L196" s="38"/>
      <c r="M196" s="38"/>
    </row>
    <row r="197" spans="1:13" s="11" customFormat="1">
      <c r="A197" s="38">
        <v>44</v>
      </c>
      <c r="B197" s="43">
        <v>45938</v>
      </c>
      <c r="C197" s="39" t="s">
        <v>16</v>
      </c>
      <c r="D197" s="39" t="s">
        <v>351</v>
      </c>
      <c r="E197" s="38">
        <f t="shared" si="15"/>
        <v>13</v>
      </c>
      <c r="F197" s="38">
        <f t="shared" si="15"/>
        <v>332</v>
      </c>
      <c r="G197" s="38">
        <v>2</v>
      </c>
      <c r="H197" s="38">
        <f>110+101</f>
        <v>211</v>
      </c>
      <c r="I197" s="38">
        <v>11</v>
      </c>
      <c r="J197" s="38">
        <f>23+21+22+24+20+11</f>
        <v>121</v>
      </c>
      <c r="K197" s="38"/>
      <c r="L197" s="38"/>
      <c r="M197" s="38"/>
    </row>
    <row r="198" spans="1:13" s="11" customFormat="1">
      <c r="A198" s="38">
        <v>45</v>
      </c>
      <c r="B198" s="43">
        <v>45969</v>
      </c>
      <c r="C198" s="39" t="s">
        <v>16</v>
      </c>
      <c r="D198" s="39" t="s">
        <v>186</v>
      </c>
      <c r="E198" s="38">
        <f t="shared" si="15"/>
        <v>3</v>
      </c>
      <c r="F198" s="38">
        <f t="shared" si="15"/>
        <v>227</v>
      </c>
      <c r="G198" s="38"/>
      <c r="H198" s="38"/>
      <c r="I198" s="38">
        <v>3</v>
      </c>
      <c r="J198" s="38">
        <f>89+69+69</f>
        <v>227</v>
      </c>
      <c r="K198" s="38"/>
      <c r="L198" s="38"/>
      <c r="M198" s="38"/>
    </row>
    <row r="199" spans="1:13" s="11" customFormat="1">
      <c r="A199" s="38">
        <v>46</v>
      </c>
      <c r="B199" s="43">
        <v>45999</v>
      </c>
      <c r="C199" s="39" t="s">
        <v>16</v>
      </c>
      <c r="D199" s="39" t="s">
        <v>352</v>
      </c>
      <c r="E199" s="38">
        <f t="shared" si="15"/>
        <v>6</v>
      </c>
      <c r="F199" s="38">
        <f t="shared" si="15"/>
        <v>166</v>
      </c>
      <c r="G199" s="38">
        <v>1</v>
      </c>
      <c r="H199" s="38">
        <v>131</v>
      </c>
      <c r="I199" s="38">
        <v>5</v>
      </c>
      <c r="J199" s="38">
        <v>35</v>
      </c>
      <c r="K199" s="38"/>
      <c r="L199" s="38"/>
      <c r="M199" s="38"/>
    </row>
    <row r="200" spans="1:13">
      <c r="A200" s="38">
        <v>47</v>
      </c>
      <c r="B200" s="38" t="s">
        <v>194</v>
      </c>
      <c r="C200" s="39" t="s">
        <v>16</v>
      </c>
      <c r="D200" s="39" t="s">
        <v>195</v>
      </c>
      <c r="E200" s="38">
        <f t="shared" si="15"/>
        <v>9</v>
      </c>
      <c r="F200" s="38">
        <f t="shared" si="15"/>
        <v>384</v>
      </c>
      <c r="G200" s="38">
        <f>4</f>
        <v>4</v>
      </c>
      <c r="H200" s="38">
        <f>96+104+78+92</f>
        <v>370</v>
      </c>
      <c r="I200" s="38">
        <v>1</v>
      </c>
      <c r="J200" s="38">
        <v>12</v>
      </c>
      <c r="K200" s="38">
        <v>4</v>
      </c>
      <c r="L200" s="38">
        <v>2</v>
      </c>
      <c r="M200" s="38"/>
    </row>
    <row r="201" spans="1:13" s="11" customFormat="1">
      <c r="A201" s="38">
        <v>48</v>
      </c>
      <c r="B201" s="38" t="s">
        <v>194</v>
      </c>
      <c r="C201" s="39" t="s">
        <v>16</v>
      </c>
      <c r="D201" s="39" t="s">
        <v>196</v>
      </c>
      <c r="E201" s="38">
        <f t="shared" si="15"/>
        <v>1</v>
      </c>
      <c r="F201" s="38">
        <f t="shared" si="15"/>
        <v>151</v>
      </c>
      <c r="G201" s="38">
        <v>1</v>
      </c>
      <c r="H201" s="38">
        <v>151</v>
      </c>
      <c r="I201" s="38"/>
      <c r="J201" s="38"/>
      <c r="K201" s="38"/>
      <c r="L201" s="38"/>
      <c r="M201" s="38"/>
    </row>
    <row r="202" spans="1:13">
      <c r="A202" s="38">
        <v>49</v>
      </c>
      <c r="B202" s="38" t="s">
        <v>194</v>
      </c>
      <c r="C202" s="39" t="s">
        <v>16</v>
      </c>
      <c r="D202" s="39" t="s">
        <v>353</v>
      </c>
      <c r="E202" s="38">
        <f t="shared" si="15"/>
        <v>4</v>
      </c>
      <c r="F202" s="38">
        <f t="shared" si="15"/>
        <v>419</v>
      </c>
      <c r="G202" s="38">
        <f>1+1+1</f>
        <v>3</v>
      </c>
      <c r="H202" s="38">
        <f>97+162+121</f>
        <v>380</v>
      </c>
      <c r="I202" s="38">
        <v>1</v>
      </c>
      <c r="J202" s="38">
        <v>39</v>
      </c>
      <c r="K202" s="38"/>
      <c r="L202" s="38"/>
      <c r="M202" s="38"/>
    </row>
    <row r="203" spans="1:13">
      <c r="A203" s="38">
        <v>50</v>
      </c>
      <c r="B203" s="38" t="s">
        <v>203</v>
      </c>
      <c r="C203" s="39" t="s">
        <v>16</v>
      </c>
      <c r="D203" s="39" t="s">
        <v>208</v>
      </c>
      <c r="E203" s="38">
        <f t="shared" si="15"/>
        <v>7</v>
      </c>
      <c r="F203" s="38">
        <f t="shared" si="15"/>
        <v>291</v>
      </c>
      <c r="G203" s="38">
        <v>1</v>
      </c>
      <c r="H203" s="38">
        <v>119</v>
      </c>
      <c r="I203" s="38">
        <v>1</v>
      </c>
      <c r="J203" s="38">
        <v>147</v>
      </c>
      <c r="K203" s="38">
        <v>5</v>
      </c>
      <c r="L203" s="38">
        <v>25</v>
      </c>
      <c r="M203" s="38"/>
    </row>
    <row r="204" spans="1:13" s="11" customFormat="1">
      <c r="A204" s="38"/>
      <c r="B204" s="38" t="s">
        <v>205</v>
      </c>
      <c r="C204" s="39" t="s">
        <v>16</v>
      </c>
      <c r="D204" s="39" t="s">
        <v>208</v>
      </c>
      <c r="E204" s="38">
        <f t="shared" si="15"/>
        <v>2</v>
      </c>
      <c r="F204" s="38">
        <f t="shared" si="15"/>
        <v>314</v>
      </c>
      <c r="G204" s="38">
        <v>2</v>
      </c>
      <c r="H204" s="38">
        <f>158+156</f>
        <v>314</v>
      </c>
      <c r="I204" s="38"/>
      <c r="J204" s="38"/>
      <c r="K204" s="38"/>
      <c r="L204" s="38"/>
      <c r="M204" s="38" t="s">
        <v>274</v>
      </c>
    </row>
    <row r="205" spans="1:13" s="14" customFormat="1">
      <c r="A205" s="38"/>
      <c r="B205" s="38" t="s">
        <v>239</v>
      </c>
      <c r="C205" s="39" t="s">
        <v>16</v>
      </c>
      <c r="D205" s="39" t="s">
        <v>208</v>
      </c>
      <c r="E205" s="38">
        <f>G205+I205+K205</f>
        <v>2</v>
      </c>
      <c r="F205" s="38">
        <f>H205+J205+L205</f>
        <v>198</v>
      </c>
      <c r="G205" s="38"/>
      <c r="H205" s="38"/>
      <c r="I205" s="38">
        <f>2</f>
        <v>2</v>
      </c>
      <c r="J205" s="38">
        <f>94+104</f>
        <v>198</v>
      </c>
      <c r="K205" s="38"/>
      <c r="L205" s="38"/>
      <c r="M205" s="38" t="s">
        <v>275</v>
      </c>
    </row>
    <row r="206" spans="1:13" s="11" customFormat="1">
      <c r="A206" s="38">
        <v>51</v>
      </c>
      <c r="B206" s="38" t="s">
        <v>205</v>
      </c>
      <c r="C206" s="39" t="s">
        <v>16</v>
      </c>
      <c r="D206" s="39" t="s">
        <v>290</v>
      </c>
      <c r="E206" s="38">
        <f t="shared" ref="E206:F214" si="16">G206+I206+K206</f>
        <v>1</v>
      </c>
      <c r="F206" s="38">
        <f t="shared" si="16"/>
        <v>82</v>
      </c>
      <c r="G206" s="38"/>
      <c r="H206" s="38"/>
      <c r="I206" s="38">
        <v>1</v>
      </c>
      <c r="J206" s="38">
        <v>82</v>
      </c>
      <c r="K206" s="38"/>
      <c r="L206" s="38"/>
      <c r="M206" s="38" t="s">
        <v>279</v>
      </c>
    </row>
    <row r="207" spans="1:13">
      <c r="A207" s="38">
        <v>52</v>
      </c>
      <c r="B207" s="38" t="s">
        <v>205</v>
      </c>
      <c r="C207" s="39" t="s">
        <v>16</v>
      </c>
      <c r="D207" s="39" t="s">
        <v>209</v>
      </c>
      <c r="E207" s="38">
        <f t="shared" si="16"/>
        <v>1</v>
      </c>
      <c r="F207" s="38">
        <f t="shared" si="16"/>
        <v>116</v>
      </c>
      <c r="G207" s="38"/>
      <c r="H207" s="38"/>
      <c r="I207" s="38">
        <v>1</v>
      </c>
      <c r="J207" s="38">
        <v>116</v>
      </c>
      <c r="K207" s="38"/>
      <c r="L207" s="38"/>
      <c r="M207" s="38"/>
    </row>
    <row r="208" spans="1:13">
      <c r="A208" s="38">
        <v>53</v>
      </c>
      <c r="B208" s="38" t="s">
        <v>218</v>
      </c>
      <c r="C208" s="39" t="s">
        <v>16</v>
      </c>
      <c r="D208" s="39" t="s">
        <v>219</v>
      </c>
      <c r="E208" s="38">
        <f t="shared" si="16"/>
        <v>1</v>
      </c>
      <c r="F208" s="38">
        <f t="shared" si="16"/>
        <v>80</v>
      </c>
      <c r="G208" s="38">
        <v>1</v>
      </c>
      <c r="H208" s="38">
        <v>80</v>
      </c>
      <c r="I208" s="38"/>
      <c r="J208" s="38"/>
      <c r="K208" s="38"/>
      <c r="L208" s="38"/>
      <c r="M208" s="38"/>
    </row>
    <row r="209" spans="1:13">
      <c r="A209" s="38">
        <v>54</v>
      </c>
      <c r="B209" s="38" t="s">
        <v>220</v>
      </c>
      <c r="C209" s="39" t="s">
        <v>16</v>
      </c>
      <c r="D209" s="39" t="s">
        <v>354</v>
      </c>
      <c r="E209" s="38">
        <f t="shared" si="16"/>
        <v>1</v>
      </c>
      <c r="F209" s="38">
        <f t="shared" si="16"/>
        <v>42</v>
      </c>
      <c r="G209" s="38"/>
      <c r="H209" s="38"/>
      <c r="I209" s="38">
        <v>1</v>
      </c>
      <c r="J209" s="38">
        <v>42</v>
      </c>
      <c r="K209" s="38"/>
      <c r="L209" s="38"/>
      <c r="M209" s="38"/>
    </row>
    <row r="210" spans="1:13">
      <c r="A210" s="38">
        <v>55</v>
      </c>
      <c r="B210" s="38" t="s">
        <v>221</v>
      </c>
      <c r="C210" s="39" t="s">
        <v>16</v>
      </c>
      <c r="D210" s="39" t="s">
        <v>355</v>
      </c>
      <c r="E210" s="38">
        <f t="shared" si="16"/>
        <v>7</v>
      </c>
      <c r="F210" s="38">
        <f t="shared" si="16"/>
        <v>220</v>
      </c>
      <c r="G210" s="38"/>
      <c r="H210" s="38"/>
      <c r="I210" s="38">
        <v>7</v>
      </c>
      <c r="J210" s="38">
        <f>60+62+58+40</f>
        <v>220</v>
      </c>
      <c r="K210" s="38"/>
      <c r="L210" s="38"/>
      <c r="M210" s="38"/>
    </row>
    <row r="211" spans="1:13">
      <c r="A211" s="38">
        <v>56</v>
      </c>
      <c r="B211" s="47" t="s">
        <v>230</v>
      </c>
      <c r="C211" s="45" t="s">
        <v>16</v>
      </c>
      <c r="D211" s="45" t="s">
        <v>231</v>
      </c>
      <c r="E211" s="47">
        <f t="shared" si="16"/>
        <v>25</v>
      </c>
      <c r="F211" s="47">
        <f t="shared" si="16"/>
        <v>1925</v>
      </c>
      <c r="G211" s="47"/>
      <c r="H211" s="47"/>
      <c r="I211" s="47">
        <v>25</v>
      </c>
      <c r="J211" s="47">
        <f>93+95+91+96+90+93+93+91+95+93+65+67+63+68+62+66+64+65+65+65+67+63+65+75+75</f>
        <v>1925</v>
      </c>
      <c r="K211" s="47"/>
      <c r="L211" s="47"/>
      <c r="M211" s="47"/>
    </row>
    <row r="212" spans="1:13">
      <c r="A212" s="38">
        <v>57</v>
      </c>
      <c r="B212" s="38" t="s">
        <v>234</v>
      </c>
      <c r="C212" s="39" t="s">
        <v>16</v>
      </c>
      <c r="D212" s="39" t="s">
        <v>237</v>
      </c>
      <c r="E212" s="38">
        <f t="shared" si="16"/>
        <v>4</v>
      </c>
      <c r="F212" s="38">
        <f t="shared" si="16"/>
        <v>180</v>
      </c>
      <c r="G212" s="38"/>
      <c r="H212" s="38"/>
      <c r="I212" s="38">
        <v>4</v>
      </c>
      <c r="J212" s="38">
        <f>48+44+46+42</f>
        <v>180</v>
      </c>
      <c r="K212" s="38"/>
      <c r="L212" s="38"/>
      <c r="M212" s="38"/>
    </row>
    <row r="213" spans="1:13">
      <c r="A213" s="38"/>
      <c r="B213" s="38" t="s">
        <v>239</v>
      </c>
      <c r="C213" s="39" t="s">
        <v>16</v>
      </c>
      <c r="D213" s="39" t="s">
        <v>237</v>
      </c>
      <c r="E213" s="38">
        <f t="shared" si="16"/>
        <v>8</v>
      </c>
      <c r="F213" s="38">
        <f t="shared" si="16"/>
        <v>386</v>
      </c>
      <c r="G213" s="38"/>
      <c r="H213" s="38"/>
      <c r="I213" s="38">
        <f>8</f>
        <v>8</v>
      </c>
      <c r="J213" s="38">
        <f>90+92+91+113</f>
        <v>386</v>
      </c>
      <c r="K213" s="38"/>
      <c r="L213" s="38"/>
      <c r="M213" s="38" t="s">
        <v>274</v>
      </c>
    </row>
    <row r="214" spans="1:13">
      <c r="A214" s="38">
        <v>58</v>
      </c>
      <c r="B214" s="38" t="s">
        <v>239</v>
      </c>
      <c r="C214" s="39" t="s">
        <v>16</v>
      </c>
      <c r="D214" s="39" t="s">
        <v>238</v>
      </c>
      <c r="E214" s="38">
        <f t="shared" si="16"/>
        <v>1</v>
      </c>
      <c r="F214" s="38">
        <f t="shared" si="16"/>
        <v>86</v>
      </c>
      <c r="G214" s="38"/>
      <c r="H214" s="38"/>
      <c r="I214" s="38">
        <v>1</v>
      </c>
      <c r="J214" s="38">
        <v>86</v>
      </c>
      <c r="K214" s="38"/>
      <c r="L214" s="38"/>
      <c r="M214" s="38"/>
    </row>
    <row r="215" spans="1:13" s="21" customFormat="1" ht="14.25">
      <c r="A215" s="101" t="s">
        <v>253</v>
      </c>
      <c r="B215" s="111" t="s">
        <v>254</v>
      </c>
      <c r="C215" s="111"/>
      <c r="D215" s="133"/>
      <c r="E215" s="132">
        <f t="shared" ref="E215:L215" si="17">SUM(E216:E282)</f>
        <v>490</v>
      </c>
      <c r="F215" s="132">
        <f t="shared" si="17"/>
        <v>24641</v>
      </c>
      <c r="G215" s="132">
        <f t="shared" si="17"/>
        <v>53</v>
      </c>
      <c r="H215" s="132">
        <f t="shared" si="17"/>
        <v>6092</v>
      </c>
      <c r="I215" s="132">
        <f t="shared" si="17"/>
        <v>370</v>
      </c>
      <c r="J215" s="132">
        <f t="shared" si="17"/>
        <v>18300</v>
      </c>
      <c r="K215" s="132">
        <f t="shared" si="17"/>
        <v>67</v>
      </c>
      <c r="L215" s="132">
        <f t="shared" si="17"/>
        <v>249</v>
      </c>
      <c r="M215" s="101"/>
    </row>
    <row r="216" spans="1:13">
      <c r="A216" s="38">
        <v>1</v>
      </c>
      <c r="B216" s="38" t="s">
        <v>42</v>
      </c>
      <c r="C216" s="39" t="s">
        <v>45</v>
      </c>
      <c r="D216" s="39" t="s">
        <v>46</v>
      </c>
      <c r="E216" s="38">
        <f t="shared" ref="E216:F231" si="18">G216+I216+K216</f>
        <v>1</v>
      </c>
      <c r="F216" s="38">
        <f t="shared" si="18"/>
        <v>126</v>
      </c>
      <c r="G216" s="38">
        <v>1</v>
      </c>
      <c r="H216" s="38">
        <v>126</v>
      </c>
      <c r="I216" s="38"/>
      <c r="J216" s="38"/>
      <c r="K216" s="38"/>
      <c r="L216" s="38"/>
      <c r="M216" s="38"/>
    </row>
    <row r="217" spans="1:13">
      <c r="A217" s="38"/>
      <c r="B217" s="38" t="s">
        <v>118</v>
      </c>
      <c r="C217" s="39" t="s">
        <v>45</v>
      </c>
      <c r="D217" s="39" t="s">
        <v>46</v>
      </c>
      <c r="E217" s="38">
        <f>G217+I217+K217</f>
        <v>14</v>
      </c>
      <c r="F217" s="38">
        <f>H217+J217+L217</f>
        <v>192</v>
      </c>
      <c r="G217" s="38">
        <v>1</v>
      </c>
      <c r="H217" s="38">
        <v>95</v>
      </c>
      <c r="I217" s="38">
        <v>1</v>
      </c>
      <c r="J217" s="38">
        <v>49</v>
      </c>
      <c r="K217" s="38">
        <v>12</v>
      </c>
      <c r="L217" s="38">
        <v>48</v>
      </c>
      <c r="M217" s="38" t="s">
        <v>274</v>
      </c>
    </row>
    <row r="218" spans="1:13" s="11" customFormat="1">
      <c r="A218" s="38">
        <v>2</v>
      </c>
      <c r="B218" s="38" t="s">
        <v>50</v>
      </c>
      <c r="C218" s="39" t="s">
        <v>45</v>
      </c>
      <c r="D218" s="39" t="s">
        <v>59</v>
      </c>
      <c r="E218" s="38">
        <f t="shared" si="18"/>
        <v>1</v>
      </c>
      <c r="F218" s="38">
        <f t="shared" si="18"/>
        <v>243</v>
      </c>
      <c r="G218" s="38">
        <v>1</v>
      </c>
      <c r="H218" s="38">
        <v>243</v>
      </c>
      <c r="I218" s="38"/>
      <c r="J218" s="38"/>
      <c r="K218" s="38"/>
      <c r="L218" s="38"/>
      <c r="M218" s="38"/>
    </row>
    <row r="219" spans="1:13" s="11" customFormat="1">
      <c r="A219" s="38">
        <v>3</v>
      </c>
      <c r="B219" s="38" t="s">
        <v>50</v>
      </c>
      <c r="C219" s="39" t="s">
        <v>45</v>
      </c>
      <c r="D219" s="39" t="s">
        <v>60</v>
      </c>
      <c r="E219" s="38">
        <f t="shared" si="18"/>
        <v>7</v>
      </c>
      <c r="F219" s="38">
        <f t="shared" si="18"/>
        <v>420</v>
      </c>
      <c r="G219" s="38"/>
      <c r="H219" s="38"/>
      <c r="I219" s="38">
        <v>7</v>
      </c>
      <c r="J219" s="38">
        <f>60+59+61+62+58+61+59</f>
        <v>420</v>
      </c>
      <c r="K219" s="38"/>
      <c r="L219" s="38"/>
      <c r="M219" s="38"/>
    </row>
    <row r="220" spans="1:13">
      <c r="A220" s="38"/>
      <c r="B220" s="43">
        <v>45665</v>
      </c>
      <c r="C220" s="39" t="s">
        <v>45</v>
      </c>
      <c r="D220" s="39" t="s">
        <v>60</v>
      </c>
      <c r="E220" s="38">
        <f>G220+I220+K220</f>
        <v>12</v>
      </c>
      <c r="F220" s="38">
        <f>H220+J220+L220</f>
        <v>237</v>
      </c>
      <c r="G220" s="38">
        <v>1</v>
      </c>
      <c r="H220" s="38">
        <v>149</v>
      </c>
      <c r="I220" s="38"/>
      <c r="J220" s="38"/>
      <c r="K220" s="38">
        <v>11</v>
      </c>
      <c r="L220" s="38">
        <v>88</v>
      </c>
      <c r="M220" s="38" t="s">
        <v>274</v>
      </c>
    </row>
    <row r="221" spans="1:13">
      <c r="A221" s="38">
        <v>4</v>
      </c>
      <c r="B221" s="38" t="s">
        <v>61</v>
      </c>
      <c r="C221" s="39" t="s">
        <v>45</v>
      </c>
      <c r="D221" s="39" t="s">
        <v>62</v>
      </c>
      <c r="E221" s="38">
        <f t="shared" si="18"/>
        <v>1</v>
      </c>
      <c r="F221" s="38">
        <f t="shared" si="18"/>
        <v>145</v>
      </c>
      <c r="G221" s="38">
        <v>1</v>
      </c>
      <c r="H221" s="38">
        <v>145</v>
      </c>
      <c r="I221" s="38"/>
      <c r="J221" s="38"/>
      <c r="K221" s="38"/>
      <c r="L221" s="38"/>
      <c r="M221" s="38"/>
    </row>
    <row r="222" spans="1:13" s="11" customFormat="1">
      <c r="A222" s="38"/>
      <c r="B222" s="38" t="s">
        <v>108</v>
      </c>
      <c r="C222" s="39" t="s">
        <v>45</v>
      </c>
      <c r="D222" s="39" t="s">
        <v>62</v>
      </c>
      <c r="E222" s="38">
        <f>G222+I222+K222</f>
        <v>2</v>
      </c>
      <c r="F222" s="38">
        <f>H222+J222+L222</f>
        <v>165</v>
      </c>
      <c r="G222" s="38">
        <v>1</v>
      </c>
      <c r="H222" s="38">
        <v>128</v>
      </c>
      <c r="I222" s="38">
        <v>1</v>
      </c>
      <c r="J222" s="38">
        <v>37</v>
      </c>
      <c r="K222" s="38"/>
      <c r="L222" s="38"/>
      <c r="M222" s="38" t="s">
        <v>274</v>
      </c>
    </row>
    <row r="223" spans="1:13" s="12" customFormat="1">
      <c r="A223" s="38"/>
      <c r="B223" s="43">
        <v>45755</v>
      </c>
      <c r="C223" s="39" t="s">
        <v>155</v>
      </c>
      <c r="D223" s="39" t="s">
        <v>62</v>
      </c>
      <c r="E223" s="38">
        <f>G223+I223+K223</f>
        <v>3</v>
      </c>
      <c r="F223" s="38">
        <f>H223+J223+L223</f>
        <v>110</v>
      </c>
      <c r="G223" s="38"/>
      <c r="H223" s="38"/>
      <c r="I223" s="38">
        <v>3</v>
      </c>
      <c r="J223" s="38">
        <f>35+37+38</f>
        <v>110</v>
      </c>
      <c r="K223" s="38"/>
      <c r="L223" s="38"/>
      <c r="M223" s="38" t="s">
        <v>275</v>
      </c>
    </row>
    <row r="224" spans="1:13" s="14" customFormat="1">
      <c r="A224" s="38">
        <v>5</v>
      </c>
      <c r="B224" s="38" t="s">
        <v>61</v>
      </c>
      <c r="C224" s="39" t="s">
        <v>45</v>
      </c>
      <c r="D224" s="39" t="s">
        <v>72</v>
      </c>
      <c r="E224" s="38">
        <f t="shared" si="18"/>
        <v>2</v>
      </c>
      <c r="F224" s="38">
        <f t="shared" si="18"/>
        <v>60</v>
      </c>
      <c r="G224" s="38"/>
      <c r="H224" s="38"/>
      <c r="I224" s="38">
        <v>2</v>
      </c>
      <c r="J224" s="38">
        <f>32+28</f>
        <v>60</v>
      </c>
      <c r="K224" s="38"/>
      <c r="L224" s="38"/>
      <c r="M224" s="38"/>
    </row>
    <row r="225" spans="1:13" s="14" customFormat="1">
      <c r="A225" s="38"/>
      <c r="B225" s="38" t="s">
        <v>118</v>
      </c>
      <c r="C225" s="39" t="s">
        <v>45</v>
      </c>
      <c r="D225" s="39" t="s">
        <v>72</v>
      </c>
      <c r="E225" s="38">
        <f t="shared" si="18"/>
        <v>3</v>
      </c>
      <c r="F225" s="38">
        <f t="shared" si="18"/>
        <v>176</v>
      </c>
      <c r="G225" s="38">
        <v>1</v>
      </c>
      <c r="H225" s="38">
        <v>115</v>
      </c>
      <c r="I225" s="38">
        <v>2</v>
      </c>
      <c r="J225" s="38">
        <f>31+30</f>
        <v>61</v>
      </c>
      <c r="K225" s="38"/>
      <c r="L225" s="38"/>
      <c r="M225" s="38" t="s">
        <v>274</v>
      </c>
    </row>
    <row r="226" spans="1:13" s="12" customFormat="1">
      <c r="A226" s="38"/>
      <c r="B226" s="43">
        <v>45755</v>
      </c>
      <c r="C226" s="39" t="s">
        <v>155</v>
      </c>
      <c r="D226" s="39" t="s">
        <v>72</v>
      </c>
      <c r="E226" s="38">
        <f t="shared" si="18"/>
        <v>19</v>
      </c>
      <c r="F226" s="38">
        <f t="shared" si="18"/>
        <v>578</v>
      </c>
      <c r="G226" s="38">
        <v>1</v>
      </c>
      <c r="H226" s="38">
        <v>106</v>
      </c>
      <c r="I226" s="38">
        <f>9*2</f>
        <v>18</v>
      </c>
      <c r="J226" s="38">
        <f>56+58+54+57+55+48+50+46+48</f>
        <v>472</v>
      </c>
      <c r="K226" s="38"/>
      <c r="L226" s="38"/>
      <c r="M226" s="38" t="s">
        <v>275</v>
      </c>
    </row>
    <row r="227" spans="1:13" s="14" customFormat="1">
      <c r="A227" s="38"/>
      <c r="B227" s="43">
        <v>45999</v>
      </c>
      <c r="C227" s="39" t="s">
        <v>45</v>
      </c>
      <c r="D227" s="39" t="s">
        <v>72</v>
      </c>
      <c r="E227" s="38">
        <f t="shared" si="18"/>
        <v>12</v>
      </c>
      <c r="F227" s="38">
        <f t="shared" si="18"/>
        <v>117</v>
      </c>
      <c r="G227" s="38"/>
      <c r="H227" s="38"/>
      <c r="I227" s="38">
        <v>12</v>
      </c>
      <c r="J227" s="38">
        <f>18+20+16+21+19+23</f>
        <v>117</v>
      </c>
      <c r="K227" s="38"/>
      <c r="L227" s="38"/>
      <c r="M227" s="38" t="s">
        <v>276</v>
      </c>
    </row>
    <row r="228" spans="1:13" s="14" customFormat="1">
      <c r="A228" s="38">
        <v>6</v>
      </c>
      <c r="B228" s="38" t="s">
        <v>73</v>
      </c>
      <c r="C228" s="39" t="s">
        <v>45</v>
      </c>
      <c r="D228" s="134" t="s">
        <v>331</v>
      </c>
      <c r="E228" s="38">
        <f t="shared" si="18"/>
        <v>11</v>
      </c>
      <c r="F228" s="38">
        <f t="shared" si="18"/>
        <v>123</v>
      </c>
      <c r="G228" s="38">
        <v>1</v>
      </c>
      <c r="H228" s="38">
        <v>103</v>
      </c>
      <c r="I228" s="38"/>
      <c r="J228" s="38"/>
      <c r="K228" s="38">
        <v>10</v>
      </c>
      <c r="L228" s="38">
        <v>20</v>
      </c>
      <c r="M228" s="38"/>
    </row>
    <row r="229" spans="1:13" s="14" customFormat="1">
      <c r="A229" s="38"/>
      <c r="B229" s="43">
        <v>45785</v>
      </c>
      <c r="C229" s="39" t="s">
        <v>45</v>
      </c>
      <c r="D229" s="134" t="s">
        <v>331</v>
      </c>
      <c r="E229" s="38">
        <f>G229+I229+K229</f>
        <v>11</v>
      </c>
      <c r="F229" s="38">
        <f>H229+J229+L229</f>
        <v>157</v>
      </c>
      <c r="G229" s="38">
        <v>1</v>
      </c>
      <c r="H229" s="38">
        <v>97</v>
      </c>
      <c r="I229" s="38">
        <v>10</v>
      </c>
      <c r="J229" s="38">
        <v>60</v>
      </c>
      <c r="K229" s="38"/>
      <c r="L229" s="38"/>
      <c r="M229" s="38" t="s">
        <v>274</v>
      </c>
    </row>
    <row r="230" spans="1:13" s="14" customFormat="1">
      <c r="A230" s="38">
        <v>7</v>
      </c>
      <c r="B230" s="38" t="s">
        <v>73</v>
      </c>
      <c r="C230" s="39" t="s">
        <v>45</v>
      </c>
      <c r="D230" s="134" t="s">
        <v>332</v>
      </c>
      <c r="E230" s="38">
        <f t="shared" si="18"/>
        <v>6</v>
      </c>
      <c r="F230" s="38">
        <f t="shared" si="18"/>
        <v>90</v>
      </c>
      <c r="G230" s="38">
        <v>1</v>
      </c>
      <c r="H230" s="38">
        <v>80</v>
      </c>
      <c r="I230" s="38"/>
      <c r="J230" s="38"/>
      <c r="K230" s="38">
        <v>5</v>
      </c>
      <c r="L230" s="38">
        <v>10</v>
      </c>
      <c r="M230" s="38"/>
    </row>
    <row r="231" spans="1:13" s="12" customFormat="1">
      <c r="A231" s="38">
        <v>8</v>
      </c>
      <c r="B231" s="38" t="s">
        <v>73</v>
      </c>
      <c r="C231" s="39" t="s">
        <v>45</v>
      </c>
      <c r="D231" s="39" t="s">
        <v>84</v>
      </c>
      <c r="E231" s="38">
        <f t="shared" si="18"/>
        <v>4</v>
      </c>
      <c r="F231" s="38">
        <f t="shared" si="18"/>
        <v>572</v>
      </c>
      <c r="G231" s="38">
        <v>4</v>
      </c>
      <c r="H231" s="38">
        <f>131+144+147+150</f>
        <v>572</v>
      </c>
      <c r="I231" s="38"/>
      <c r="J231" s="38"/>
      <c r="K231" s="38"/>
      <c r="L231" s="38"/>
      <c r="M231" s="38"/>
    </row>
    <row r="232" spans="1:13" s="14" customFormat="1">
      <c r="A232" s="38"/>
      <c r="B232" s="43">
        <v>45665</v>
      </c>
      <c r="C232" s="39" t="s">
        <v>45</v>
      </c>
      <c r="D232" s="39" t="s">
        <v>84</v>
      </c>
      <c r="E232" s="38">
        <f t="shared" ref="E232:F247" si="19">G232+I232+K232</f>
        <v>1</v>
      </c>
      <c r="F232" s="38">
        <f t="shared" si="19"/>
        <v>152</v>
      </c>
      <c r="G232" s="38">
        <v>1</v>
      </c>
      <c r="H232" s="38">
        <v>152</v>
      </c>
      <c r="I232" s="38"/>
      <c r="J232" s="38"/>
      <c r="K232" s="38"/>
      <c r="L232" s="38"/>
      <c r="M232" s="38" t="s">
        <v>274</v>
      </c>
    </row>
    <row r="233" spans="1:13" s="14" customFormat="1">
      <c r="A233" s="38"/>
      <c r="B233" s="43">
        <v>45696</v>
      </c>
      <c r="C233" s="39" t="s">
        <v>45</v>
      </c>
      <c r="D233" s="39" t="s">
        <v>84</v>
      </c>
      <c r="E233" s="38">
        <f t="shared" si="19"/>
        <v>3</v>
      </c>
      <c r="F233" s="38">
        <f t="shared" si="19"/>
        <v>187</v>
      </c>
      <c r="G233" s="38">
        <v>1</v>
      </c>
      <c r="H233" s="38">
        <v>167</v>
      </c>
      <c r="I233" s="38">
        <v>2</v>
      </c>
      <c r="J233" s="38">
        <v>20</v>
      </c>
      <c r="K233" s="38"/>
      <c r="L233" s="38"/>
      <c r="M233" s="38" t="s">
        <v>275</v>
      </c>
    </row>
    <row r="234" spans="1:13" s="12" customFormat="1">
      <c r="A234" s="38"/>
      <c r="B234" s="38" t="s">
        <v>203</v>
      </c>
      <c r="C234" s="39" t="s">
        <v>45</v>
      </c>
      <c r="D234" s="39" t="s">
        <v>84</v>
      </c>
      <c r="E234" s="38">
        <f t="shared" si="19"/>
        <v>14</v>
      </c>
      <c r="F234" s="38">
        <f t="shared" si="19"/>
        <v>2072</v>
      </c>
      <c r="G234" s="38"/>
      <c r="H234" s="38"/>
      <c r="I234" s="38">
        <v>14</v>
      </c>
      <c r="J234" s="38">
        <f>148+150+142+152+144+148+151+153+147+149+148+149+152+139</f>
        <v>2072</v>
      </c>
      <c r="K234" s="38"/>
      <c r="L234" s="38"/>
      <c r="M234" s="38" t="s">
        <v>276</v>
      </c>
    </row>
    <row r="235" spans="1:13" s="14" customFormat="1">
      <c r="A235" s="38"/>
      <c r="B235" s="38" t="s">
        <v>226</v>
      </c>
      <c r="C235" s="39" t="s">
        <v>45</v>
      </c>
      <c r="D235" s="39" t="s">
        <v>84</v>
      </c>
      <c r="E235" s="38">
        <f t="shared" si="19"/>
        <v>2</v>
      </c>
      <c r="F235" s="38">
        <f t="shared" si="19"/>
        <v>81</v>
      </c>
      <c r="G235" s="38"/>
      <c r="H235" s="38"/>
      <c r="I235" s="38">
        <v>2</v>
      </c>
      <c r="J235" s="38">
        <f>40+41</f>
        <v>81</v>
      </c>
      <c r="K235" s="38"/>
      <c r="L235" s="38"/>
      <c r="M235" s="38" t="s">
        <v>277</v>
      </c>
    </row>
    <row r="236" spans="1:13" s="14" customFormat="1">
      <c r="A236" s="38"/>
      <c r="B236" s="38" t="s">
        <v>232</v>
      </c>
      <c r="C236" s="39" t="s">
        <v>45</v>
      </c>
      <c r="D236" s="39" t="s">
        <v>84</v>
      </c>
      <c r="E236" s="38">
        <f t="shared" si="19"/>
        <v>34</v>
      </c>
      <c r="F236" s="38">
        <f t="shared" si="19"/>
        <v>2400</v>
      </c>
      <c r="G236" s="38"/>
      <c r="H236" s="38"/>
      <c r="I236" s="38">
        <v>34</v>
      </c>
      <c r="J236" s="38">
        <f>70+71+69+73+67+72+68+70+65+75+71+69+67+73+72+68+70+70+70+69+71+68+72+70+73+67+70+70+75+75+76+74+70+70</f>
        <v>2400</v>
      </c>
      <c r="K236" s="38"/>
      <c r="L236" s="38"/>
      <c r="M236" s="38" t="s">
        <v>278</v>
      </c>
    </row>
    <row r="237" spans="1:13" s="14" customFormat="1">
      <c r="A237" s="38">
        <v>9</v>
      </c>
      <c r="B237" s="38" t="s">
        <v>86</v>
      </c>
      <c r="C237" s="39" t="s">
        <v>45</v>
      </c>
      <c r="D237" s="39" t="s">
        <v>93</v>
      </c>
      <c r="E237" s="38">
        <f t="shared" si="19"/>
        <v>1</v>
      </c>
      <c r="F237" s="38">
        <f t="shared" si="19"/>
        <v>74</v>
      </c>
      <c r="G237" s="38">
        <v>1</v>
      </c>
      <c r="H237" s="38">
        <v>74</v>
      </c>
      <c r="I237" s="38"/>
      <c r="J237" s="38"/>
      <c r="K237" s="38"/>
      <c r="L237" s="38"/>
      <c r="M237" s="38"/>
    </row>
    <row r="238" spans="1:13" s="12" customFormat="1">
      <c r="A238" s="38">
        <v>10</v>
      </c>
      <c r="B238" s="38" t="s">
        <v>95</v>
      </c>
      <c r="C238" s="39" t="s">
        <v>45</v>
      </c>
      <c r="D238" s="39" t="s">
        <v>104</v>
      </c>
      <c r="E238" s="38">
        <f t="shared" si="19"/>
        <v>2</v>
      </c>
      <c r="F238" s="38">
        <f t="shared" si="19"/>
        <v>128</v>
      </c>
      <c r="G238" s="38">
        <v>1</v>
      </c>
      <c r="H238" s="38">
        <v>81</v>
      </c>
      <c r="I238" s="38">
        <v>1</v>
      </c>
      <c r="J238" s="38">
        <v>47</v>
      </c>
      <c r="K238" s="38"/>
      <c r="L238" s="38"/>
      <c r="M238" s="38"/>
    </row>
    <row r="239" spans="1:13" s="14" customFormat="1">
      <c r="A239" s="38">
        <v>11</v>
      </c>
      <c r="B239" s="38" t="s">
        <v>95</v>
      </c>
      <c r="C239" s="39" t="s">
        <v>45</v>
      </c>
      <c r="D239" s="39" t="s">
        <v>105</v>
      </c>
      <c r="E239" s="38">
        <f t="shared" si="19"/>
        <v>1</v>
      </c>
      <c r="F239" s="38">
        <f t="shared" si="19"/>
        <v>219</v>
      </c>
      <c r="G239" s="38">
        <v>1</v>
      </c>
      <c r="H239" s="38">
        <v>219</v>
      </c>
      <c r="I239" s="38"/>
      <c r="J239" s="38"/>
      <c r="K239" s="38"/>
      <c r="L239" s="38"/>
      <c r="M239" s="38"/>
    </row>
    <row r="240" spans="1:13" s="12" customFormat="1">
      <c r="A240" s="38"/>
      <c r="B240" s="43">
        <v>45724</v>
      </c>
      <c r="C240" s="39" t="s">
        <v>45</v>
      </c>
      <c r="D240" s="39" t="s">
        <v>105</v>
      </c>
      <c r="E240" s="38">
        <f>G240+I240+K240</f>
        <v>15</v>
      </c>
      <c r="F240" s="38">
        <f>H240+J240+L240</f>
        <v>538</v>
      </c>
      <c r="G240" s="38">
        <v>4</v>
      </c>
      <c r="H240" s="38">
        <f>106+178+78+77</f>
        <v>439</v>
      </c>
      <c r="I240" s="38">
        <v>11</v>
      </c>
      <c r="J240" s="38">
        <f>50+49</f>
        <v>99</v>
      </c>
      <c r="K240" s="38"/>
      <c r="L240" s="38"/>
      <c r="M240" s="38" t="s">
        <v>274</v>
      </c>
    </row>
    <row r="241" spans="1:13" s="12" customFormat="1">
      <c r="A241" s="38"/>
      <c r="B241" s="43">
        <v>45938</v>
      </c>
      <c r="C241" s="39" t="s">
        <v>45</v>
      </c>
      <c r="D241" s="39" t="s">
        <v>105</v>
      </c>
      <c r="E241" s="38">
        <f>G241+I241+K241</f>
        <v>1</v>
      </c>
      <c r="F241" s="38">
        <f>H241+J241+L241</f>
        <v>99</v>
      </c>
      <c r="G241" s="38">
        <v>1</v>
      </c>
      <c r="H241" s="38">
        <v>99</v>
      </c>
      <c r="I241" s="38"/>
      <c r="J241" s="38"/>
      <c r="K241" s="38"/>
      <c r="L241" s="38"/>
      <c r="M241" s="38" t="s">
        <v>275</v>
      </c>
    </row>
    <row r="242" spans="1:13" s="12" customFormat="1">
      <c r="A242" s="38">
        <v>12</v>
      </c>
      <c r="B242" s="38" t="s">
        <v>95</v>
      </c>
      <c r="C242" s="39" t="s">
        <v>45</v>
      </c>
      <c r="D242" s="39" t="s">
        <v>106</v>
      </c>
      <c r="E242" s="38">
        <f t="shared" si="19"/>
        <v>1</v>
      </c>
      <c r="F242" s="38">
        <f t="shared" si="19"/>
        <v>138</v>
      </c>
      <c r="G242" s="38">
        <v>1</v>
      </c>
      <c r="H242" s="38">
        <v>138</v>
      </c>
      <c r="I242" s="38"/>
      <c r="J242" s="38"/>
      <c r="K242" s="38"/>
      <c r="L242" s="38"/>
      <c r="M242" s="38"/>
    </row>
    <row r="243" spans="1:13">
      <c r="A243" s="38"/>
      <c r="B243" s="43">
        <v>45908</v>
      </c>
      <c r="C243" s="39" t="s">
        <v>45</v>
      </c>
      <c r="D243" s="39" t="s">
        <v>106</v>
      </c>
      <c r="E243" s="38">
        <f>G243+I243+K243</f>
        <v>16</v>
      </c>
      <c r="F243" s="38">
        <f>H243+J243+L243</f>
        <v>780</v>
      </c>
      <c r="G243" s="38">
        <v>3</v>
      </c>
      <c r="H243" s="38">
        <f>137+122+144</f>
        <v>403</v>
      </c>
      <c r="I243" s="38">
        <f>13</f>
        <v>13</v>
      </c>
      <c r="J243" s="38">
        <f>59+56+57+60+58+60+27</f>
        <v>377</v>
      </c>
      <c r="K243" s="38"/>
      <c r="L243" s="38"/>
      <c r="M243" s="38" t="s">
        <v>274</v>
      </c>
    </row>
    <row r="244" spans="1:13">
      <c r="A244" s="38">
        <v>13</v>
      </c>
      <c r="B244" s="38" t="s">
        <v>95</v>
      </c>
      <c r="C244" s="39" t="s">
        <v>45</v>
      </c>
      <c r="D244" s="39" t="s">
        <v>107</v>
      </c>
      <c r="E244" s="38">
        <f t="shared" si="19"/>
        <v>2</v>
      </c>
      <c r="F244" s="38">
        <f t="shared" si="19"/>
        <v>80</v>
      </c>
      <c r="G244" s="38">
        <v>2</v>
      </c>
      <c r="H244" s="38">
        <f>50+30</f>
        <v>80</v>
      </c>
      <c r="I244" s="38"/>
      <c r="J244" s="38"/>
      <c r="K244" s="38"/>
      <c r="L244" s="38"/>
      <c r="M244" s="38"/>
    </row>
    <row r="245" spans="1:13" s="11" customFormat="1">
      <c r="A245" s="38">
        <v>14</v>
      </c>
      <c r="B245" s="38" t="s">
        <v>108</v>
      </c>
      <c r="C245" s="39" t="s">
        <v>45</v>
      </c>
      <c r="D245" s="39" t="s">
        <v>112</v>
      </c>
      <c r="E245" s="38">
        <f t="shared" si="19"/>
        <v>9</v>
      </c>
      <c r="F245" s="38">
        <f t="shared" si="19"/>
        <v>482</v>
      </c>
      <c r="G245" s="38">
        <v>2</v>
      </c>
      <c r="H245" s="38">
        <f>108+121</f>
        <v>229</v>
      </c>
      <c r="I245" s="38">
        <v>7</v>
      </c>
      <c r="J245" s="38">
        <f>60+65+50+51+27</f>
        <v>253</v>
      </c>
      <c r="K245" s="38"/>
      <c r="L245" s="38"/>
      <c r="M245" s="38"/>
    </row>
    <row r="246" spans="1:13" s="11" customFormat="1">
      <c r="A246" s="38"/>
      <c r="B246" s="43">
        <v>45724</v>
      </c>
      <c r="C246" s="39" t="s">
        <v>45</v>
      </c>
      <c r="D246" s="39" t="s">
        <v>112</v>
      </c>
      <c r="E246" s="38">
        <f>G246+I246+K246</f>
        <v>7</v>
      </c>
      <c r="F246" s="38">
        <f>H246+J246+L246</f>
        <v>172</v>
      </c>
      <c r="G246" s="38"/>
      <c r="H246" s="38"/>
      <c r="I246" s="38">
        <v>7</v>
      </c>
      <c r="J246" s="38">
        <f>44+50+52+26</f>
        <v>172</v>
      </c>
      <c r="K246" s="38"/>
      <c r="L246" s="38"/>
      <c r="M246" s="38" t="s">
        <v>274</v>
      </c>
    </row>
    <row r="247" spans="1:13">
      <c r="A247" s="38">
        <v>15</v>
      </c>
      <c r="B247" s="38" t="s">
        <v>108</v>
      </c>
      <c r="C247" s="39" t="s">
        <v>45</v>
      </c>
      <c r="D247" s="39" t="s">
        <v>113</v>
      </c>
      <c r="E247" s="38">
        <f t="shared" si="19"/>
        <v>9</v>
      </c>
      <c r="F247" s="38">
        <f t="shared" si="19"/>
        <v>259</v>
      </c>
      <c r="G247" s="38">
        <v>1</v>
      </c>
      <c r="H247" s="38">
        <v>109</v>
      </c>
      <c r="I247" s="38">
        <v>2</v>
      </c>
      <c r="J247" s="38">
        <f>60+60</f>
        <v>120</v>
      </c>
      <c r="K247" s="38">
        <v>6</v>
      </c>
      <c r="L247" s="38">
        <v>30</v>
      </c>
      <c r="M247" s="38"/>
    </row>
    <row r="248" spans="1:13">
      <c r="A248" s="38"/>
      <c r="B248" s="43">
        <v>45755</v>
      </c>
      <c r="C248" s="39" t="s">
        <v>155</v>
      </c>
      <c r="D248" s="39" t="s">
        <v>113</v>
      </c>
      <c r="E248" s="38">
        <f>G248+I248+K248</f>
        <v>1</v>
      </c>
      <c r="F248" s="38">
        <f>H248+J248+L248</f>
        <v>153</v>
      </c>
      <c r="G248" s="38">
        <v>1</v>
      </c>
      <c r="H248" s="38">
        <v>153</v>
      </c>
      <c r="I248" s="38"/>
      <c r="J248" s="38"/>
      <c r="K248" s="38"/>
      <c r="L248" s="38"/>
      <c r="M248" s="38" t="s">
        <v>274</v>
      </c>
    </row>
    <row r="249" spans="1:13">
      <c r="A249" s="38">
        <v>16</v>
      </c>
      <c r="B249" s="38" t="s">
        <v>108</v>
      </c>
      <c r="C249" s="39" t="s">
        <v>45</v>
      </c>
      <c r="D249" s="39" t="s">
        <v>114</v>
      </c>
      <c r="E249" s="38">
        <f t="shared" ref="E249:F249" si="20">G249+I249+K249</f>
        <v>1</v>
      </c>
      <c r="F249" s="38">
        <f t="shared" si="20"/>
        <v>133</v>
      </c>
      <c r="G249" s="38">
        <v>1</v>
      </c>
      <c r="H249" s="38">
        <v>133</v>
      </c>
      <c r="I249" s="38"/>
      <c r="J249" s="38"/>
      <c r="K249" s="38"/>
      <c r="L249" s="38"/>
      <c r="M249" s="38"/>
    </row>
    <row r="250" spans="1:13" s="11" customFormat="1">
      <c r="A250" s="38"/>
      <c r="B250" s="43">
        <v>45938</v>
      </c>
      <c r="C250" s="39" t="s">
        <v>45</v>
      </c>
      <c r="D250" s="39" t="s">
        <v>114</v>
      </c>
      <c r="E250" s="38">
        <f>G250+I250+K250</f>
        <v>7</v>
      </c>
      <c r="F250" s="38">
        <f>H250+J250+L250</f>
        <v>93</v>
      </c>
      <c r="G250" s="38"/>
      <c r="H250" s="38"/>
      <c r="I250" s="38">
        <f>2+3+2</f>
        <v>7</v>
      </c>
      <c r="J250" s="38">
        <f>26+39+28</f>
        <v>93</v>
      </c>
      <c r="K250" s="38"/>
      <c r="L250" s="38"/>
      <c r="M250" s="38" t="s">
        <v>274</v>
      </c>
    </row>
    <row r="251" spans="1:13">
      <c r="A251" s="38">
        <v>17</v>
      </c>
      <c r="B251" s="38" t="s">
        <v>118</v>
      </c>
      <c r="C251" s="39" t="s">
        <v>45</v>
      </c>
      <c r="D251" s="39" t="s">
        <v>125</v>
      </c>
      <c r="E251" s="38">
        <f t="shared" ref="E251:F256" si="21">G251+I251+K251</f>
        <v>1</v>
      </c>
      <c r="F251" s="38">
        <f t="shared" si="21"/>
        <v>95</v>
      </c>
      <c r="G251" s="38">
        <v>1</v>
      </c>
      <c r="H251" s="38">
        <v>95</v>
      </c>
      <c r="I251" s="38"/>
      <c r="J251" s="38"/>
      <c r="K251" s="38"/>
      <c r="L251" s="38"/>
      <c r="M251" s="38"/>
    </row>
    <row r="252" spans="1:13">
      <c r="A252" s="38"/>
      <c r="B252" s="43">
        <v>45724</v>
      </c>
      <c r="C252" s="39" t="s">
        <v>45</v>
      </c>
      <c r="D252" s="39" t="s">
        <v>125</v>
      </c>
      <c r="E252" s="38">
        <f>G252+I252+K252</f>
        <v>8</v>
      </c>
      <c r="F252" s="38">
        <f>H252+J252+L252</f>
        <v>170</v>
      </c>
      <c r="G252" s="38">
        <v>1</v>
      </c>
      <c r="H252" s="38">
        <v>128</v>
      </c>
      <c r="I252" s="38"/>
      <c r="J252" s="38"/>
      <c r="K252" s="38">
        <v>7</v>
      </c>
      <c r="L252" s="38">
        <v>42</v>
      </c>
      <c r="M252" s="38" t="s">
        <v>274</v>
      </c>
    </row>
    <row r="253" spans="1:13" s="11" customFormat="1">
      <c r="A253" s="38"/>
      <c r="B253" s="43">
        <v>45785</v>
      </c>
      <c r="C253" s="39" t="s">
        <v>45</v>
      </c>
      <c r="D253" s="39" t="s">
        <v>125</v>
      </c>
      <c r="E253" s="38">
        <f>G253+I253+K253</f>
        <v>1</v>
      </c>
      <c r="F253" s="38">
        <f>H253+J253+L253</f>
        <v>127</v>
      </c>
      <c r="G253" s="38">
        <v>1</v>
      </c>
      <c r="H253" s="38">
        <v>127</v>
      </c>
      <c r="I253" s="38"/>
      <c r="J253" s="38"/>
      <c r="K253" s="38"/>
      <c r="L253" s="38"/>
      <c r="M253" s="38" t="s">
        <v>275</v>
      </c>
    </row>
    <row r="254" spans="1:13" s="11" customFormat="1">
      <c r="A254" s="38">
        <v>18</v>
      </c>
      <c r="B254" s="38" t="s">
        <v>118</v>
      </c>
      <c r="C254" s="39" t="s">
        <v>45</v>
      </c>
      <c r="D254" s="39" t="s">
        <v>126</v>
      </c>
      <c r="E254" s="38">
        <f t="shared" si="21"/>
        <v>1</v>
      </c>
      <c r="F254" s="38">
        <f t="shared" si="21"/>
        <v>92</v>
      </c>
      <c r="G254" s="38">
        <v>1</v>
      </c>
      <c r="H254" s="38">
        <v>92</v>
      </c>
      <c r="I254" s="38"/>
      <c r="J254" s="38"/>
      <c r="K254" s="38"/>
      <c r="L254" s="38"/>
      <c r="M254" s="38"/>
    </row>
    <row r="255" spans="1:13">
      <c r="A255" s="38">
        <v>19</v>
      </c>
      <c r="B255" s="38" t="s">
        <v>118</v>
      </c>
      <c r="C255" s="39" t="s">
        <v>45</v>
      </c>
      <c r="D255" s="39" t="s">
        <v>127</v>
      </c>
      <c r="E255" s="38">
        <f t="shared" si="21"/>
        <v>1</v>
      </c>
      <c r="F255" s="38">
        <f t="shared" si="21"/>
        <v>74</v>
      </c>
      <c r="G255" s="38">
        <v>1</v>
      </c>
      <c r="H255" s="38">
        <v>74</v>
      </c>
      <c r="I255" s="38"/>
      <c r="J255" s="38"/>
      <c r="K255" s="38"/>
      <c r="L255" s="38"/>
      <c r="M255" s="38"/>
    </row>
    <row r="256" spans="1:13" s="11" customFormat="1">
      <c r="A256" s="38">
        <v>20</v>
      </c>
      <c r="B256" s="38" t="s">
        <v>118</v>
      </c>
      <c r="C256" s="39" t="s">
        <v>45</v>
      </c>
      <c r="D256" s="39" t="s">
        <v>128</v>
      </c>
      <c r="E256" s="38">
        <f t="shared" si="21"/>
        <v>1</v>
      </c>
      <c r="F256" s="38">
        <f t="shared" si="21"/>
        <v>116</v>
      </c>
      <c r="G256" s="38">
        <v>1</v>
      </c>
      <c r="H256" s="38">
        <v>116</v>
      </c>
      <c r="I256" s="38"/>
      <c r="J256" s="38"/>
      <c r="K256" s="38"/>
      <c r="L256" s="38"/>
      <c r="M256" s="38"/>
    </row>
    <row r="257" spans="1:13">
      <c r="A257" s="38"/>
      <c r="B257" s="43">
        <v>45785</v>
      </c>
      <c r="C257" s="39" t="s">
        <v>45</v>
      </c>
      <c r="D257" s="39" t="s">
        <v>128</v>
      </c>
      <c r="E257" s="38">
        <f>G257+I257+K257</f>
        <v>10</v>
      </c>
      <c r="F257" s="38">
        <f>H257+J257+L257</f>
        <v>516</v>
      </c>
      <c r="G257" s="38"/>
      <c r="H257" s="38"/>
      <c r="I257" s="38">
        <v>10</v>
      </c>
      <c r="J257" s="38">
        <f>50+51+52+49+53+56+51+51+52+51</f>
        <v>516</v>
      </c>
      <c r="K257" s="38"/>
      <c r="L257" s="38"/>
      <c r="M257" s="38" t="s">
        <v>274</v>
      </c>
    </row>
    <row r="258" spans="1:13" s="14" customFormat="1">
      <c r="A258" s="38">
        <v>21</v>
      </c>
      <c r="B258" s="43">
        <v>45665</v>
      </c>
      <c r="C258" s="39" t="s">
        <v>45</v>
      </c>
      <c r="D258" s="39" t="s">
        <v>136</v>
      </c>
      <c r="E258" s="38">
        <f t="shared" ref="E258:F259" si="22">G258+I258+K258</f>
        <v>10</v>
      </c>
      <c r="F258" s="38">
        <f t="shared" si="22"/>
        <v>715</v>
      </c>
      <c r="G258" s="38">
        <v>1</v>
      </c>
      <c r="H258" s="38">
        <v>162</v>
      </c>
      <c r="I258" s="38">
        <v>9</v>
      </c>
      <c r="J258" s="38">
        <f>61+62+60+63+59+62+61+63+62</f>
        <v>553</v>
      </c>
      <c r="K258" s="38"/>
      <c r="L258" s="38"/>
      <c r="M258" s="38"/>
    </row>
    <row r="259" spans="1:13" s="14" customFormat="1">
      <c r="A259" s="38">
        <v>22</v>
      </c>
      <c r="B259" s="43">
        <v>45696</v>
      </c>
      <c r="C259" s="39" t="s">
        <v>45</v>
      </c>
      <c r="D259" s="39" t="s">
        <v>147</v>
      </c>
      <c r="E259" s="38">
        <f t="shared" si="22"/>
        <v>1</v>
      </c>
      <c r="F259" s="38">
        <f t="shared" si="22"/>
        <v>67</v>
      </c>
      <c r="G259" s="38"/>
      <c r="H259" s="38"/>
      <c r="I259" s="38">
        <v>1</v>
      </c>
      <c r="J259" s="38">
        <v>67</v>
      </c>
      <c r="K259" s="38"/>
      <c r="L259" s="38"/>
      <c r="M259" s="38"/>
    </row>
    <row r="260" spans="1:13" s="12" customFormat="1">
      <c r="A260" s="38"/>
      <c r="B260" s="43">
        <v>45785</v>
      </c>
      <c r="C260" s="39" t="s">
        <v>45</v>
      </c>
      <c r="D260" s="39" t="s">
        <v>147</v>
      </c>
      <c r="E260" s="38">
        <f>G260+I260+K260</f>
        <v>1</v>
      </c>
      <c r="F260" s="38">
        <f>H260+J260+L260</f>
        <v>65</v>
      </c>
      <c r="G260" s="38"/>
      <c r="H260" s="38"/>
      <c r="I260" s="38">
        <v>1</v>
      </c>
      <c r="J260" s="38">
        <v>65</v>
      </c>
      <c r="K260" s="38"/>
      <c r="L260" s="38"/>
      <c r="M260" s="38" t="s">
        <v>274</v>
      </c>
    </row>
    <row r="261" spans="1:13" s="14" customFormat="1">
      <c r="A261" s="38">
        <v>23</v>
      </c>
      <c r="B261" s="43">
        <v>45724</v>
      </c>
      <c r="C261" s="39" t="s">
        <v>45</v>
      </c>
      <c r="D261" s="39" t="s">
        <v>152</v>
      </c>
      <c r="E261" s="38">
        <f t="shared" ref="E261:F277" si="23">G261+I261+K261</f>
        <v>1</v>
      </c>
      <c r="F261" s="38">
        <f t="shared" si="23"/>
        <v>54</v>
      </c>
      <c r="G261" s="38">
        <v>1</v>
      </c>
      <c r="H261" s="38">
        <v>54</v>
      </c>
      <c r="I261" s="38"/>
      <c r="J261" s="38"/>
      <c r="K261" s="38"/>
      <c r="L261" s="38"/>
      <c r="M261" s="38"/>
    </row>
    <row r="262" spans="1:13" s="14" customFormat="1">
      <c r="A262" s="38"/>
      <c r="B262" s="43">
        <v>45785</v>
      </c>
      <c r="C262" s="39" t="s">
        <v>45</v>
      </c>
      <c r="D262" s="39" t="s">
        <v>152</v>
      </c>
      <c r="E262" s="38">
        <f>G262+I262+K262</f>
        <v>1</v>
      </c>
      <c r="F262" s="38">
        <f>H262+J262+L262</f>
        <v>62</v>
      </c>
      <c r="G262" s="38">
        <v>1</v>
      </c>
      <c r="H262" s="38">
        <v>62</v>
      </c>
      <c r="I262" s="38"/>
      <c r="J262" s="38"/>
      <c r="K262" s="38"/>
      <c r="L262" s="38"/>
      <c r="M262" s="38" t="s">
        <v>274</v>
      </c>
    </row>
    <row r="263" spans="1:13" s="14" customFormat="1">
      <c r="A263" s="38"/>
      <c r="B263" s="43">
        <v>45999</v>
      </c>
      <c r="C263" s="39" t="s">
        <v>45</v>
      </c>
      <c r="D263" s="39" t="s">
        <v>152</v>
      </c>
      <c r="E263" s="38">
        <f>G263+I263+K263</f>
        <v>14</v>
      </c>
      <c r="F263" s="38">
        <f>H263+J263+L263</f>
        <v>204</v>
      </c>
      <c r="G263" s="38">
        <v>3</v>
      </c>
      <c r="H263" s="38">
        <f>94+43+61</f>
        <v>198</v>
      </c>
      <c r="I263" s="38"/>
      <c r="J263" s="38"/>
      <c r="K263" s="38">
        <v>11</v>
      </c>
      <c r="L263" s="38">
        <v>6</v>
      </c>
      <c r="M263" s="38" t="s">
        <v>275</v>
      </c>
    </row>
    <row r="264" spans="1:13" s="14" customFormat="1">
      <c r="A264" s="38">
        <v>24</v>
      </c>
      <c r="B264" s="43">
        <v>45724</v>
      </c>
      <c r="C264" s="39" t="s">
        <v>45</v>
      </c>
      <c r="D264" s="39" t="s">
        <v>153</v>
      </c>
      <c r="E264" s="38">
        <f t="shared" si="23"/>
        <v>7</v>
      </c>
      <c r="F264" s="38">
        <f t="shared" si="23"/>
        <v>258</v>
      </c>
      <c r="G264" s="38">
        <v>2</v>
      </c>
      <c r="H264" s="38">
        <f>59+194</f>
        <v>253</v>
      </c>
      <c r="I264" s="38"/>
      <c r="J264" s="38"/>
      <c r="K264" s="38">
        <v>5</v>
      </c>
      <c r="L264" s="38">
        <v>5</v>
      </c>
      <c r="M264" s="38"/>
    </row>
    <row r="265" spans="1:13" s="14" customFormat="1">
      <c r="A265" s="38"/>
      <c r="B265" s="43">
        <v>45938</v>
      </c>
      <c r="C265" s="39" t="s">
        <v>45</v>
      </c>
      <c r="D265" s="39" t="s">
        <v>153</v>
      </c>
      <c r="E265" s="38">
        <f>G265+I265+K265</f>
        <v>1</v>
      </c>
      <c r="F265" s="38">
        <f>H265+J265+L265</f>
        <v>45</v>
      </c>
      <c r="G265" s="38">
        <v>1</v>
      </c>
      <c r="H265" s="38">
        <v>45</v>
      </c>
      <c r="I265" s="38"/>
      <c r="J265" s="38"/>
      <c r="K265" s="38"/>
      <c r="L265" s="38"/>
      <c r="M265" s="38" t="s">
        <v>274</v>
      </c>
    </row>
    <row r="266" spans="1:13" s="12" customFormat="1">
      <c r="A266" s="38">
        <v>25</v>
      </c>
      <c r="B266" s="43">
        <v>45755</v>
      </c>
      <c r="C266" s="39" t="s">
        <v>155</v>
      </c>
      <c r="D266" s="39" t="s">
        <v>156</v>
      </c>
      <c r="E266" s="38">
        <f t="shared" si="23"/>
        <v>1</v>
      </c>
      <c r="F266" s="38">
        <f t="shared" si="23"/>
        <v>10</v>
      </c>
      <c r="G266" s="38"/>
      <c r="H266" s="38"/>
      <c r="I266" s="38">
        <v>1</v>
      </c>
      <c r="J266" s="38">
        <v>10</v>
      </c>
      <c r="K266" s="38"/>
      <c r="L266" s="38"/>
      <c r="M266" s="38"/>
    </row>
    <row r="267" spans="1:13" s="14" customFormat="1">
      <c r="A267" s="38"/>
      <c r="B267" s="43">
        <v>45816</v>
      </c>
      <c r="C267" s="39" t="s">
        <v>45</v>
      </c>
      <c r="D267" s="39" t="s">
        <v>156</v>
      </c>
      <c r="E267" s="38">
        <f t="shared" si="23"/>
        <v>12</v>
      </c>
      <c r="F267" s="38">
        <f t="shared" si="23"/>
        <v>161</v>
      </c>
      <c r="G267" s="38"/>
      <c r="H267" s="38"/>
      <c r="I267" s="38">
        <v>12</v>
      </c>
      <c r="J267" s="38">
        <f>26+28+24+26+28+29</f>
        <v>161</v>
      </c>
      <c r="K267" s="38"/>
      <c r="L267" s="38"/>
      <c r="M267" s="38" t="s">
        <v>274</v>
      </c>
    </row>
    <row r="268" spans="1:13" s="14" customFormat="1">
      <c r="A268" s="38"/>
      <c r="B268" s="43">
        <v>45969</v>
      </c>
      <c r="C268" s="39" t="s">
        <v>45</v>
      </c>
      <c r="D268" s="39" t="s">
        <v>156</v>
      </c>
      <c r="E268" s="38">
        <f t="shared" si="23"/>
        <v>1</v>
      </c>
      <c r="F268" s="38">
        <f t="shared" si="23"/>
        <v>180</v>
      </c>
      <c r="G268" s="38">
        <v>1</v>
      </c>
      <c r="H268" s="38">
        <v>180</v>
      </c>
      <c r="I268" s="38"/>
      <c r="J268" s="38"/>
      <c r="K268" s="38"/>
      <c r="L268" s="38"/>
      <c r="M268" s="38" t="s">
        <v>275</v>
      </c>
    </row>
    <row r="269" spans="1:13" s="12" customFormat="1">
      <c r="A269" s="38"/>
      <c r="B269" s="38" t="s">
        <v>203</v>
      </c>
      <c r="C269" s="39" t="s">
        <v>45</v>
      </c>
      <c r="D269" s="39" t="s">
        <v>156</v>
      </c>
      <c r="E269" s="38">
        <f t="shared" si="23"/>
        <v>1</v>
      </c>
      <c r="F269" s="38">
        <f t="shared" si="23"/>
        <v>72</v>
      </c>
      <c r="G269" s="38"/>
      <c r="H269" s="38"/>
      <c r="I269" s="38">
        <v>1</v>
      </c>
      <c r="J269" s="38">
        <v>72</v>
      </c>
      <c r="K269" s="38"/>
      <c r="L269" s="38"/>
      <c r="M269" s="38" t="s">
        <v>276</v>
      </c>
    </row>
    <row r="270" spans="1:13" s="12" customFormat="1">
      <c r="A270" s="38">
        <v>26</v>
      </c>
      <c r="B270" s="43">
        <v>45785</v>
      </c>
      <c r="C270" s="39" t="s">
        <v>45</v>
      </c>
      <c r="D270" s="39" t="s">
        <v>167</v>
      </c>
      <c r="E270" s="38">
        <f t="shared" si="23"/>
        <v>1</v>
      </c>
      <c r="F270" s="38">
        <f t="shared" si="23"/>
        <v>30</v>
      </c>
      <c r="G270" s="38"/>
      <c r="H270" s="38"/>
      <c r="I270" s="38">
        <v>1</v>
      </c>
      <c r="J270" s="38">
        <v>30</v>
      </c>
      <c r="K270" s="38"/>
      <c r="L270" s="38"/>
      <c r="M270" s="38"/>
    </row>
    <row r="271" spans="1:13" s="14" customFormat="1">
      <c r="A271" s="38">
        <v>27</v>
      </c>
      <c r="B271" s="43">
        <v>45846</v>
      </c>
      <c r="C271" s="39" t="s">
        <v>45</v>
      </c>
      <c r="D271" s="39" t="s">
        <v>178</v>
      </c>
      <c r="E271" s="38">
        <f t="shared" si="23"/>
        <v>10</v>
      </c>
      <c r="F271" s="38">
        <f t="shared" si="23"/>
        <v>583</v>
      </c>
      <c r="G271" s="38"/>
      <c r="H271" s="38"/>
      <c r="I271" s="38">
        <v>10</v>
      </c>
      <c r="J271" s="38">
        <f>50+58+60+58+60+55+58+56+59+69</f>
        <v>583</v>
      </c>
      <c r="K271" s="38"/>
      <c r="L271" s="38"/>
      <c r="M271" s="38" t="s">
        <v>179</v>
      </c>
    </row>
    <row r="272" spans="1:13" s="12" customFormat="1">
      <c r="A272" s="38"/>
      <c r="B272" s="43">
        <v>45877</v>
      </c>
      <c r="C272" s="39" t="s">
        <v>45</v>
      </c>
      <c r="D272" s="39" t="s">
        <v>178</v>
      </c>
      <c r="E272" s="38">
        <f t="shared" si="23"/>
        <v>69</v>
      </c>
      <c r="F272" s="38">
        <f t="shared" si="23"/>
        <v>3785</v>
      </c>
      <c r="G272" s="38"/>
      <c r="H272" s="38"/>
      <c r="I272" s="38">
        <f>53+16</f>
        <v>69</v>
      </c>
      <c r="J272" s="38">
        <f>64+52+58+71+80+79+82+68+60+63+62+76+52+93+19+71+71+58+48+50+68+49+47+50+61+41+46+51+55+45+64+45+53+67+71+60+67+60+53+47+53+58+47+53+58+50+56+48+54+51+58+46+52+88+86+90+88+92+84+98+98</f>
        <v>3785</v>
      </c>
      <c r="K272" s="38"/>
      <c r="L272" s="38"/>
      <c r="M272" s="38" t="s">
        <v>274</v>
      </c>
    </row>
    <row r="273" spans="1:13" s="12" customFormat="1">
      <c r="A273" s="38"/>
      <c r="B273" s="43">
        <v>45938</v>
      </c>
      <c r="C273" s="39" t="s">
        <v>45</v>
      </c>
      <c r="D273" s="39" t="s">
        <v>178</v>
      </c>
      <c r="E273" s="38">
        <f t="shared" si="23"/>
        <v>46</v>
      </c>
      <c r="F273" s="38">
        <f t="shared" si="23"/>
        <v>2423</v>
      </c>
      <c r="G273" s="38"/>
      <c r="H273" s="38"/>
      <c r="I273" s="38">
        <f>30+16</f>
        <v>46</v>
      </c>
      <c r="J273" s="38">
        <f>78+48+59+74+81+65+76+82+73+71+64+73+53+39+55+52+56+52+43+60+57+79+32+69+57+60+47+62+37+83+60+62+58+63+57+92+97+97</f>
        <v>2423</v>
      </c>
      <c r="K273" s="38"/>
      <c r="L273" s="38"/>
      <c r="M273" s="38" t="s">
        <v>275</v>
      </c>
    </row>
    <row r="274" spans="1:13" s="14" customFormat="1">
      <c r="A274" s="38"/>
      <c r="B274" s="38" t="s">
        <v>194</v>
      </c>
      <c r="C274" s="39" t="s">
        <v>45</v>
      </c>
      <c r="D274" s="39" t="s">
        <v>178</v>
      </c>
      <c r="E274" s="38">
        <f t="shared" si="23"/>
        <v>24</v>
      </c>
      <c r="F274" s="38">
        <f t="shared" si="23"/>
        <v>1268</v>
      </c>
      <c r="G274" s="38"/>
      <c r="H274" s="38"/>
      <c r="I274" s="38">
        <v>24</v>
      </c>
      <c r="J274" s="38">
        <f>78+80+76+75+81+80+76+79+77+78+78+60+66+54+70+65+65+30</f>
        <v>1268</v>
      </c>
      <c r="K274" s="38"/>
      <c r="L274" s="38"/>
      <c r="M274" s="38" t="s">
        <v>276</v>
      </c>
    </row>
    <row r="275" spans="1:13" s="14" customFormat="1">
      <c r="A275" s="38"/>
      <c r="B275" s="38" t="s">
        <v>203</v>
      </c>
      <c r="C275" s="39" t="s">
        <v>45</v>
      </c>
      <c r="D275" s="39" t="s">
        <v>178</v>
      </c>
      <c r="E275" s="38">
        <f t="shared" si="23"/>
        <v>17</v>
      </c>
      <c r="F275" s="38">
        <f t="shared" si="23"/>
        <v>1122</v>
      </c>
      <c r="G275" s="38"/>
      <c r="H275" s="38"/>
      <c r="I275" s="38">
        <v>17</v>
      </c>
      <c r="J275" s="38">
        <f>66+69+63+67+65+68+64+62+70+66+63+69+66+69+63+68+64</f>
        <v>1122</v>
      </c>
      <c r="K275" s="38"/>
      <c r="L275" s="38"/>
      <c r="M275" s="38" t="s">
        <v>277</v>
      </c>
    </row>
    <row r="276" spans="1:13">
      <c r="A276" s="38">
        <v>28</v>
      </c>
      <c r="B276" s="43">
        <v>45877</v>
      </c>
      <c r="C276" s="39" t="s">
        <v>45</v>
      </c>
      <c r="D276" s="39" t="s">
        <v>180</v>
      </c>
      <c r="E276" s="38">
        <f t="shared" si="23"/>
        <v>1</v>
      </c>
      <c r="F276" s="38">
        <f t="shared" si="23"/>
        <v>29</v>
      </c>
      <c r="G276" s="38"/>
      <c r="H276" s="38"/>
      <c r="I276" s="38">
        <v>1</v>
      </c>
      <c r="J276" s="38">
        <v>29</v>
      </c>
      <c r="K276" s="38"/>
      <c r="L276" s="38"/>
      <c r="M276" s="38"/>
    </row>
    <row r="277" spans="1:13">
      <c r="A277" s="38">
        <v>29</v>
      </c>
      <c r="B277" s="43">
        <v>45938</v>
      </c>
      <c r="C277" s="39" t="s">
        <v>45</v>
      </c>
      <c r="D277" s="39" t="s">
        <v>184</v>
      </c>
      <c r="E277" s="38">
        <f t="shared" si="23"/>
        <v>3</v>
      </c>
      <c r="F277" s="38">
        <f t="shared" si="23"/>
        <v>125</v>
      </c>
      <c r="G277" s="38"/>
      <c r="H277" s="38"/>
      <c r="I277" s="38">
        <v>3</v>
      </c>
      <c r="J277" s="38">
        <f>40+42+43</f>
        <v>125</v>
      </c>
      <c r="K277" s="38"/>
      <c r="L277" s="38"/>
      <c r="M277" s="38"/>
    </row>
    <row r="278" spans="1:13">
      <c r="A278" s="38">
        <v>30</v>
      </c>
      <c r="B278" s="43">
        <v>45938</v>
      </c>
      <c r="C278" s="39" t="s">
        <v>45</v>
      </c>
      <c r="D278" s="39" t="s">
        <v>185</v>
      </c>
      <c r="E278" s="38">
        <f t="shared" ref="E278:F279" si="24">G278+I278+K278</f>
        <v>2</v>
      </c>
      <c r="F278" s="38">
        <f t="shared" si="24"/>
        <v>51</v>
      </c>
      <c r="G278" s="38"/>
      <c r="H278" s="38"/>
      <c r="I278" s="38">
        <v>2</v>
      </c>
      <c r="J278" s="38">
        <f>25+26</f>
        <v>51</v>
      </c>
      <c r="K278" s="38"/>
      <c r="L278" s="38"/>
      <c r="M278" s="38"/>
    </row>
    <row r="279" spans="1:13" s="11" customFormat="1">
      <c r="A279" s="38">
        <v>31</v>
      </c>
      <c r="B279" s="43">
        <v>45999</v>
      </c>
      <c r="C279" s="39" t="s">
        <v>45</v>
      </c>
      <c r="D279" s="39" t="s">
        <v>190</v>
      </c>
      <c r="E279" s="38">
        <f t="shared" si="24"/>
        <v>1</v>
      </c>
      <c r="F279" s="38">
        <f t="shared" si="24"/>
        <v>42</v>
      </c>
      <c r="G279" s="38"/>
      <c r="H279" s="38"/>
      <c r="I279" s="38">
        <v>1</v>
      </c>
      <c r="J279" s="38">
        <v>42</v>
      </c>
      <c r="K279" s="38"/>
      <c r="L279" s="38"/>
      <c r="M279" s="38"/>
    </row>
    <row r="280" spans="1:13">
      <c r="A280" s="38"/>
      <c r="B280" s="38" t="s">
        <v>228</v>
      </c>
      <c r="C280" s="39" t="s">
        <v>45</v>
      </c>
      <c r="D280" s="39" t="s">
        <v>190</v>
      </c>
      <c r="E280" s="38">
        <f>G280+I280+K280</f>
        <v>1</v>
      </c>
      <c r="F280" s="38">
        <f>H280+J280+L280</f>
        <v>112</v>
      </c>
      <c r="G280" s="38"/>
      <c r="H280" s="38"/>
      <c r="I280" s="38">
        <v>1</v>
      </c>
      <c r="J280" s="38">
        <v>112</v>
      </c>
      <c r="K280" s="38"/>
      <c r="L280" s="38"/>
      <c r="M280" s="38" t="s">
        <v>274</v>
      </c>
    </row>
    <row r="281" spans="1:13" s="11" customFormat="1">
      <c r="A281" s="38">
        <v>32</v>
      </c>
      <c r="B281" s="38" t="s">
        <v>203</v>
      </c>
      <c r="C281" s="39" t="s">
        <v>45</v>
      </c>
      <c r="D281" s="39" t="s">
        <v>204</v>
      </c>
      <c r="E281" s="38">
        <f t="shared" ref="E281:F282" si="25">G281+I281+K281</f>
        <v>4</v>
      </c>
      <c r="F281" s="38">
        <f t="shared" si="25"/>
        <v>166</v>
      </c>
      <c r="G281" s="38"/>
      <c r="H281" s="38"/>
      <c r="I281" s="38">
        <v>4</v>
      </c>
      <c r="J281" s="38">
        <f>78+88</f>
        <v>166</v>
      </c>
      <c r="K281" s="38"/>
      <c r="L281" s="38"/>
      <c r="M281" s="38"/>
    </row>
    <row r="282" spans="1:13">
      <c r="A282" s="38">
        <v>33</v>
      </c>
      <c r="B282" s="38" t="s">
        <v>223</v>
      </c>
      <c r="C282" s="39" t="s">
        <v>45</v>
      </c>
      <c r="D282" s="39" t="s">
        <v>224</v>
      </c>
      <c r="E282" s="38">
        <f t="shared" si="25"/>
        <v>1</v>
      </c>
      <c r="F282" s="38">
        <f t="shared" si="25"/>
        <v>71</v>
      </c>
      <c r="G282" s="38">
        <v>1</v>
      </c>
      <c r="H282" s="38">
        <v>71</v>
      </c>
      <c r="I282" s="38"/>
      <c r="J282" s="38"/>
      <c r="K282" s="38"/>
      <c r="L282" s="38"/>
      <c r="M282" s="38"/>
    </row>
    <row r="283" spans="1:13" s="21" customFormat="1" ht="14.25">
      <c r="A283" s="101" t="s">
        <v>255</v>
      </c>
      <c r="B283" s="111" t="s">
        <v>256</v>
      </c>
      <c r="C283" s="111"/>
      <c r="D283" s="133"/>
      <c r="E283" s="132">
        <f t="shared" ref="E283:L283" si="26">SUM(E284:E330)</f>
        <v>208</v>
      </c>
      <c r="F283" s="132">
        <f t="shared" si="26"/>
        <v>9863</v>
      </c>
      <c r="G283" s="132">
        <f t="shared" si="26"/>
        <v>51</v>
      </c>
      <c r="H283" s="132">
        <f t="shared" si="26"/>
        <v>7475</v>
      </c>
      <c r="I283" s="132">
        <f t="shared" si="26"/>
        <v>80</v>
      </c>
      <c r="J283" s="132">
        <f t="shared" si="26"/>
        <v>2094</v>
      </c>
      <c r="K283" s="132">
        <f t="shared" si="26"/>
        <v>77</v>
      </c>
      <c r="L283" s="132">
        <f t="shared" si="26"/>
        <v>294</v>
      </c>
      <c r="M283" s="101"/>
    </row>
    <row r="284" spans="1:13">
      <c r="A284" s="38">
        <v>1</v>
      </c>
      <c r="B284" s="43" t="s">
        <v>15</v>
      </c>
      <c r="C284" s="39" t="s">
        <v>18</v>
      </c>
      <c r="D284" s="39" t="s">
        <v>19</v>
      </c>
      <c r="E284" s="128">
        <f t="shared" ref="E284:F288" si="27">G284+I284+K284</f>
        <v>1</v>
      </c>
      <c r="F284" s="128">
        <f t="shared" si="27"/>
        <v>215</v>
      </c>
      <c r="G284" s="38">
        <v>1</v>
      </c>
      <c r="H284" s="41">
        <v>215</v>
      </c>
      <c r="I284" s="38">
        <v>0</v>
      </c>
      <c r="J284" s="41"/>
      <c r="K284" s="38"/>
      <c r="L284" s="41"/>
      <c r="M284" s="38"/>
    </row>
    <row r="285" spans="1:13">
      <c r="A285" s="38">
        <v>2</v>
      </c>
      <c r="B285" s="38" t="s">
        <v>50</v>
      </c>
      <c r="C285" s="39" t="s">
        <v>18</v>
      </c>
      <c r="D285" s="39" t="s">
        <v>57</v>
      </c>
      <c r="E285" s="38">
        <f t="shared" si="27"/>
        <v>1</v>
      </c>
      <c r="F285" s="130">
        <f t="shared" si="27"/>
        <v>80</v>
      </c>
      <c r="G285" s="38">
        <v>1</v>
      </c>
      <c r="H285" s="38">
        <v>80</v>
      </c>
      <c r="I285" s="38"/>
      <c r="J285" s="38"/>
      <c r="K285" s="38"/>
      <c r="L285" s="38"/>
      <c r="M285" s="38"/>
    </row>
    <row r="286" spans="1:13">
      <c r="A286" s="38"/>
      <c r="B286" s="38" t="s">
        <v>73</v>
      </c>
      <c r="C286" s="39" t="s">
        <v>18</v>
      </c>
      <c r="D286" s="39" t="s">
        <v>57</v>
      </c>
      <c r="E286" s="38">
        <f>G286+I286+K286</f>
        <v>13</v>
      </c>
      <c r="F286" s="38">
        <f>H286+J286+L286</f>
        <v>39</v>
      </c>
      <c r="G286" s="38"/>
      <c r="H286" s="38"/>
      <c r="I286" s="38"/>
      <c r="J286" s="38"/>
      <c r="K286" s="38">
        <v>13</v>
      </c>
      <c r="L286" s="38">
        <v>39</v>
      </c>
      <c r="M286" s="38" t="s">
        <v>274</v>
      </c>
    </row>
    <row r="287" spans="1:13" s="14" customFormat="1">
      <c r="A287" s="38"/>
      <c r="B287" s="43">
        <v>45696</v>
      </c>
      <c r="C287" s="39" t="s">
        <v>18</v>
      </c>
      <c r="D287" s="39" t="s">
        <v>57</v>
      </c>
      <c r="E287" s="38">
        <f>G287+I287+K287</f>
        <v>4</v>
      </c>
      <c r="F287" s="38">
        <f>H287+J287+L287</f>
        <v>98</v>
      </c>
      <c r="G287" s="38">
        <v>1</v>
      </c>
      <c r="H287" s="38">
        <v>60</v>
      </c>
      <c r="I287" s="38">
        <v>3</v>
      </c>
      <c r="J287" s="38">
        <f>12+14+12</f>
        <v>38</v>
      </c>
      <c r="K287" s="38"/>
      <c r="L287" s="38"/>
      <c r="M287" s="38" t="s">
        <v>275</v>
      </c>
    </row>
    <row r="288" spans="1:13" s="12" customFormat="1">
      <c r="A288" s="38">
        <v>3</v>
      </c>
      <c r="B288" s="38" t="s">
        <v>50</v>
      </c>
      <c r="C288" s="39" t="s">
        <v>18</v>
      </c>
      <c r="D288" s="92" t="s">
        <v>333</v>
      </c>
      <c r="E288" s="38">
        <f t="shared" si="27"/>
        <v>1</v>
      </c>
      <c r="F288" s="38">
        <f t="shared" si="27"/>
        <v>251</v>
      </c>
      <c r="G288" s="38">
        <v>1</v>
      </c>
      <c r="H288" s="38">
        <v>251</v>
      </c>
      <c r="I288" s="38"/>
      <c r="J288" s="38"/>
      <c r="K288" s="38"/>
      <c r="L288" s="38"/>
      <c r="M288" s="38"/>
    </row>
    <row r="289" spans="1:13" s="14" customFormat="1">
      <c r="A289" s="38"/>
      <c r="B289" s="38" t="s">
        <v>86</v>
      </c>
      <c r="C289" s="39" t="s">
        <v>18</v>
      </c>
      <c r="D289" s="92" t="s">
        <v>333</v>
      </c>
      <c r="E289" s="38">
        <f>G289+I289+K289</f>
        <v>12</v>
      </c>
      <c r="F289" s="38">
        <f>H289+J289+L289</f>
        <v>218</v>
      </c>
      <c r="G289" s="38">
        <v>1</v>
      </c>
      <c r="H289" s="38">
        <v>161</v>
      </c>
      <c r="I289" s="38">
        <v>1</v>
      </c>
      <c r="J289" s="38">
        <v>27</v>
      </c>
      <c r="K289" s="38">
        <v>10</v>
      </c>
      <c r="L289" s="38">
        <v>30</v>
      </c>
      <c r="M289" s="38"/>
    </row>
    <row r="290" spans="1:13" s="14" customFormat="1">
      <c r="A290" s="38">
        <v>4</v>
      </c>
      <c r="B290" s="38" t="s">
        <v>73</v>
      </c>
      <c r="C290" s="39" t="s">
        <v>18</v>
      </c>
      <c r="D290" s="39" t="s">
        <v>85</v>
      </c>
      <c r="E290" s="38">
        <f t="shared" ref="E290:F290" si="28">G290+I290+K290</f>
        <v>1</v>
      </c>
      <c r="F290" s="38">
        <f t="shared" si="28"/>
        <v>52</v>
      </c>
      <c r="G290" s="38">
        <v>1</v>
      </c>
      <c r="H290" s="38">
        <v>52</v>
      </c>
      <c r="I290" s="38"/>
      <c r="J290" s="38"/>
      <c r="K290" s="38"/>
      <c r="L290" s="38"/>
      <c r="M290" s="47"/>
    </row>
    <row r="291" spans="1:13" s="14" customFormat="1">
      <c r="A291" s="38"/>
      <c r="B291" s="43">
        <v>45696</v>
      </c>
      <c r="C291" s="39" t="s">
        <v>18</v>
      </c>
      <c r="D291" s="39" t="s">
        <v>85</v>
      </c>
      <c r="E291" s="38">
        <f>G291+I291+K291</f>
        <v>1</v>
      </c>
      <c r="F291" s="38">
        <f>H291+J291+L291</f>
        <v>46</v>
      </c>
      <c r="G291" s="38"/>
      <c r="H291" s="38"/>
      <c r="I291" s="38">
        <v>1</v>
      </c>
      <c r="J291" s="38">
        <v>46</v>
      </c>
      <c r="K291" s="38"/>
      <c r="L291" s="38"/>
      <c r="M291" s="38" t="s">
        <v>274</v>
      </c>
    </row>
    <row r="292" spans="1:13" s="12" customFormat="1">
      <c r="A292" s="38">
        <v>5</v>
      </c>
      <c r="B292" s="38" t="s">
        <v>86</v>
      </c>
      <c r="C292" s="39" t="s">
        <v>18</v>
      </c>
      <c r="D292" s="39" t="s">
        <v>94</v>
      </c>
      <c r="E292" s="38">
        <f t="shared" ref="E292:F293" si="29">G292+I292+K292</f>
        <v>2</v>
      </c>
      <c r="F292" s="38">
        <f t="shared" si="29"/>
        <v>39</v>
      </c>
      <c r="G292" s="38"/>
      <c r="H292" s="38"/>
      <c r="I292" s="38">
        <v>2</v>
      </c>
      <c r="J292" s="38">
        <f>19+20</f>
        <v>39</v>
      </c>
      <c r="K292" s="38"/>
      <c r="L292" s="38"/>
      <c r="M292" s="38"/>
    </row>
    <row r="293" spans="1:13" s="12" customFormat="1">
      <c r="A293" s="38">
        <v>6</v>
      </c>
      <c r="B293" s="38" t="s">
        <v>95</v>
      </c>
      <c r="C293" s="39" t="s">
        <v>18</v>
      </c>
      <c r="D293" s="39" t="s">
        <v>103</v>
      </c>
      <c r="E293" s="38">
        <f t="shared" si="29"/>
        <v>1</v>
      </c>
      <c r="F293" s="38">
        <f t="shared" si="29"/>
        <v>307</v>
      </c>
      <c r="G293" s="38">
        <v>1</v>
      </c>
      <c r="H293" s="38">
        <v>307</v>
      </c>
      <c r="I293" s="38"/>
      <c r="J293" s="38"/>
      <c r="K293" s="38"/>
      <c r="L293" s="38"/>
      <c r="M293" s="38"/>
    </row>
    <row r="294" spans="1:13" s="12" customFormat="1">
      <c r="A294" s="38"/>
      <c r="B294" s="43">
        <v>45665</v>
      </c>
      <c r="C294" s="39" t="s">
        <v>18</v>
      </c>
      <c r="D294" s="39" t="s">
        <v>103</v>
      </c>
      <c r="E294" s="38">
        <f>G294+I294+K294</f>
        <v>13</v>
      </c>
      <c r="F294" s="38">
        <f>H294+J294+L294</f>
        <v>310</v>
      </c>
      <c r="G294" s="38">
        <v>2</v>
      </c>
      <c r="H294" s="38">
        <f>95+105</f>
        <v>200</v>
      </c>
      <c r="I294" s="38">
        <v>11</v>
      </c>
      <c r="J294" s="38">
        <v>110</v>
      </c>
      <c r="K294" s="38"/>
      <c r="L294" s="38"/>
      <c r="M294" s="38" t="s">
        <v>274</v>
      </c>
    </row>
    <row r="295" spans="1:13" s="12" customFormat="1">
      <c r="A295" s="38">
        <v>7</v>
      </c>
      <c r="B295" s="38" t="s">
        <v>108</v>
      </c>
      <c r="C295" s="39" t="s">
        <v>18</v>
      </c>
      <c r="D295" s="39" t="s">
        <v>115</v>
      </c>
      <c r="E295" s="38">
        <f t="shared" ref="E295:F297" si="30">G295+I295+K295</f>
        <v>2</v>
      </c>
      <c r="F295" s="38">
        <f t="shared" si="30"/>
        <v>243</v>
      </c>
      <c r="G295" s="38">
        <f>1+1</f>
        <v>2</v>
      </c>
      <c r="H295" s="38">
        <f>113+130</f>
        <v>243</v>
      </c>
      <c r="I295" s="38"/>
      <c r="J295" s="38"/>
      <c r="K295" s="38"/>
      <c r="L295" s="38"/>
      <c r="M295" s="38"/>
    </row>
    <row r="296" spans="1:13" s="14" customFormat="1">
      <c r="A296" s="38"/>
      <c r="B296" s="43">
        <v>45724</v>
      </c>
      <c r="C296" s="39" t="s">
        <v>18</v>
      </c>
      <c r="D296" s="39" t="s">
        <v>115</v>
      </c>
      <c r="E296" s="38">
        <f t="shared" si="30"/>
        <v>15</v>
      </c>
      <c r="F296" s="38">
        <f t="shared" si="30"/>
        <v>409</v>
      </c>
      <c r="G296" s="38">
        <v>1</v>
      </c>
      <c r="H296" s="38">
        <v>108</v>
      </c>
      <c r="I296" s="38">
        <v>7</v>
      </c>
      <c r="J296" s="38">
        <f>40+41+39+41+38+41+40</f>
        <v>280</v>
      </c>
      <c r="K296" s="38">
        <v>7</v>
      </c>
      <c r="L296" s="38">
        <v>21</v>
      </c>
      <c r="M296" s="38" t="s">
        <v>274</v>
      </c>
    </row>
    <row r="297" spans="1:13" s="12" customFormat="1">
      <c r="A297" s="38">
        <v>8</v>
      </c>
      <c r="B297" s="38" t="s">
        <v>118</v>
      </c>
      <c r="C297" s="39" t="s">
        <v>18</v>
      </c>
      <c r="D297" s="39" t="s">
        <v>119</v>
      </c>
      <c r="E297" s="38">
        <f t="shared" si="30"/>
        <v>3</v>
      </c>
      <c r="F297" s="38">
        <f t="shared" si="30"/>
        <v>518</v>
      </c>
      <c r="G297" s="38">
        <v>3</v>
      </c>
      <c r="H297" s="38">
        <f>140+177+201</f>
        <v>518</v>
      </c>
      <c r="I297" s="38"/>
      <c r="J297" s="38"/>
      <c r="K297" s="38"/>
      <c r="L297" s="38"/>
      <c r="M297" s="38"/>
    </row>
    <row r="298" spans="1:13" s="14" customFormat="1">
      <c r="A298" s="38"/>
      <c r="B298" s="43">
        <v>45816</v>
      </c>
      <c r="C298" s="39" t="s">
        <v>18</v>
      </c>
      <c r="D298" s="39" t="s">
        <v>119</v>
      </c>
      <c r="E298" s="38">
        <f>G298+I298+K298</f>
        <v>1</v>
      </c>
      <c r="F298" s="38">
        <f>H298+J298+L298</f>
        <v>172</v>
      </c>
      <c r="G298" s="38">
        <v>1</v>
      </c>
      <c r="H298" s="38">
        <v>172</v>
      </c>
      <c r="I298" s="38"/>
      <c r="J298" s="38"/>
      <c r="K298" s="38"/>
      <c r="L298" s="38"/>
      <c r="M298" s="38" t="s">
        <v>274</v>
      </c>
    </row>
    <row r="299" spans="1:13" s="14" customFormat="1">
      <c r="A299" s="38"/>
      <c r="B299" s="43">
        <v>45999</v>
      </c>
      <c r="C299" s="39" t="s">
        <v>18</v>
      </c>
      <c r="D299" s="39" t="s">
        <v>119</v>
      </c>
      <c r="E299" s="38">
        <f>G299+I299+K299</f>
        <v>2</v>
      </c>
      <c r="F299" s="38">
        <f>H299+J299+L299</f>
        <v>324</v>
      </c>
      <c r="G299" s="38">
        <f>1+1</f>
        <v>2</v>
      </c>
      <c r="H299" s="38">
        <f>170+154</f>
        <v>324</v>
      </c>
      <c r="I299" s="38"/>
      <c r="J299" s="38"/>
      <c r="K299" s="38"/>
      <c r="L299" s="38"/>
      <c r="M299" s="38" t="s">
        <v>275</v>
      </c>
    </row>
    <row r="300" spans="1:13" s="12" customFormat="1">
      <c r="A300" s="38">
        <v>9</v>
      </c>
      <c r="B300" s="43">
        <v>45665</v>
      </c>
      <c r="C300" s="39" t="s">
        <v>18</v>
      </c>
      <c r="D300" s="39" t="s">
        <v>137</v>
      </c>
      <c r="E300" s="38">
        <f t="shared" ref="E300:F302" si="31">G300+I300+K300</f>
        <v>29</v>
      </c>
      <c r="F300" s="38">
        <f t="shared" si="31"/>
        <v>523</v>
      </c>
      <c r="G300" s="38">
        <v>2</v>
      </c>
      <c r="H300" s="38">
        <f>140+169</f>
        <v>309</v>
      </c>
      <c r="I300" s="38">
        <v>13</v>
      </c>
      <c r="J300" s="38">
        <v>130</v>
      </c>
      <c r="K300" s="38">
        <v>14</v>
      </c>
      <c r="L300" s="38">
        <v>84</v>
      </c>
      <c r="M300" s="38"/>
    </row>
    <row r="301" spans="1:13" s="14" customFormat="1">
      <c r="A301" s="38"/>
      <c r="B301" s="43">
        <v>45846</v>
      </c>
      <c r="C301" s="39" t="s">
        <v>18</v>
      </c>
      <c r="D301" s="39" t="s">
        <v>137</v>
      </c>
      <c r="E301" s="38">
        <f>G301+I301+K301</f>
        <v>1</v>
      </c>
      <c r="F301" s="38">
        <f>H301+J301+L301</f>
        <v>204</v>
      </c>
      <c r="G301" s="38">
        <v>1</v>
      </c>
      <c r="H301" s="38">
        <v>204</v>
      </c>
      <c r="I301" s="38"/>
      <c r="J301" s="38"/>
      <c r="K301" s="38"/>
      <c r="L301" s="38"/>
      <c r="M301" s="38" t="s">
        <v>274</v>
      </c>
    </row>
    <row r="302" spans="1:13" s="12" customFormat="1">
      <c r="A302" s="38">
        <v>10</v>
      </c>
      <c r="B302" s="43">
        <v>45665</v>
      </c>
      <c r="C302" s="39" t="s">
        <v>18</v>
      </c>
      <c r="D302" s="39" t="s">
        <v>138</v>
      </c>
      <c r="E302" s="38">
        <f t="shared" si="31"/>
        <v>2</v>
      </c>
      <c r="F302" s="38">
        <f t="shared" si="31"/>
        <v>429</v>
      </c>
      <c r="G302" s="38">
        <v>2</v>
      </c>
      <c r="H302" s="38">
        <f>240+189</f>
        <v>429</v>
      </c>
      <c r="I302" s="38"/>
      <c r="J302" s="38"/>
      <c r="K302" s="38"/>
      <c r="L302" s="38"/>
      <c r="M302" s="38"/>
    </row>
    <row r="303" spans="1:13" s="14" customFormat="1">
      <c r="A303" s="38"/>
      <c r="B303" s="43">
        <v>45785</v>
      </c>
      <c r="C303" s="39" t="s">
        <v>18</v>
      </c>
      <c r="D303" s="39" t="s">
        <v>138</v>
      </c>
      <c r="E303" s="38">
        <f>G303+I303+K303</f>
        <v>2</v>
      </c>
      <c r="F303" s="38">
        <f>H303+J303+L303</f>
        <v>436</v>
      </c>
      <c r="G303" s="38">
        <v>2</v>
      </c>
      <c r="H303" s="38">
        <f>293+143</f>
        <v>436</v>
      </c>
      <c r="I303" s="38"/>
      <c r="J303" s="38"/>
      <c r="K303" s="38"/>
      <c r="L303" s="38"/>
      <c r="M303" s="38" t="s">
        <v>274</v>
      </c>
    </row>
    <row r="304" spans="1:13" s="14" customFormat="1">
      <c r="A304" s="38"/>
      <c r="B304" s="38" t="s">
        <v>215</v>
      </c>
      <c r="C304" s="39" t="s">
        <v>18</v>
      </c>
      <c r="D304" s="39" t="s">
        <v>138</v>
      </c>
      <c r="E304" s="38">
        <f>G304+I304+K304</f>
        <v>10</v>
      </c>
      <c r="F304" s="38">
        <f>H304+J304+L304</f>
        <v>160</v>
      </c>
      <c r="G304" s="38"/>
      <c r="H304" s="38"/>
      <c r="I304" s="38">
        <v>10</v>
      </c>
      <c r="J304" s="38">
        <f>30+32+28+30+40</f>
        <v>160</v>
      </c>
      <c r="K304" s="38"/>
      <c r="L304" s="38"/>
      <c r="M304" s="38" t="s">
        <v>275</v>
      </c>
    </row>
    <row r="305" spans="1:13" s="12" customFormat="1">
      <c r="A305" s="38">
        <v>11</v>
      </c>
      <c r="B305" s="43">
        <v>45696</v>
      </c>
      <c r="C305" s="39" t="s">
        <v>18</v>
      </c>
      <c r="D305" s="39" t="s">
        <v>148</v>
      </c>
      <c r="E305" s="38">
        <f t="shared" ref="E305:F311" si="32">G305+I305+K305</f>
        <v>2</v>
      </c>
      <c r="F305" s="38">
        <f t="shared" si="32"/>
        <v>322</v>
      </c>
      <c r="G305" s="38">
        <v>2</v>
      </c>
      <c r="H305" s="38">
        <f>250+72</f>
        <v>322</v>
      </c>
      <c r="I305" s="38"/>
      <c r="J305" s="38"/>
      <c r="K305" s="38"/>
      <c r="L305" s="38"/>
      <c r="M305" s="38"/>
    </row>
    <row r="306" spans="1:13" s="12" customFormat="1">
      <c r="A306" s="38">
        <v>12</v>
      </c>
      <c r="B306" s="43">
        <v>45696</v>
      </c>
      <c r="C306" s="39" t="s">
        <v>18</v>
      </c>
      <c r="D306" s="39" t="s">
        <v>334</v>
      </c>
      <c r="E306" s="38">
        <f t="shared" si="32"/>
        <v>2</v>
      </c>
      <c r="F306" s="38">
        <f t="shared" si="32"/>
        <v>70</v>
      </c>
      <c r="G306" s="38"/>
      <c r="H306" s="38"/>
      <c r="I306" s="38">
        <v>2</v>
      </c>
      <c r="J306" s="38">
        <f>34+36</f>
        <v>70</v>
      </c>
      <c r="K306" s="38"/>
      <c r="L306" s="38"/>
      <c r="M306" s="38"/>
    </row>
    <row r="307" spans="1:13" s="14" customFormat="1">
      <c r="A307" s="38">
        <v>13</v>
      </c>
      <c r="B307" s="43">
        <v>45755</v>
      </c>
      <c r="C307" s="39" t="s">
        <v>18</v>
      </c>
      <c r="D307" s="39" t="s">
        <v>154</v>
      </c>
      <c r="E307" s="38">
        <f t="shared" si="32"/>
        <v>11</v>
      </c>
      <c r="F307" s="38">
        <f t="shared" si="32"/>
        <v>136</v>
      </c>
      <c r="G307" s="38">
        <v>1</v>
      </c>
      <c r="H307" s="38">
        <v>121</v>
      </c>
      <c r="I307" s="38"/>
      <c r="J307" s="38"/>
      <c r="K307" s="38">
        <v>10</v>
      </c>
      <c r="L307" s="38">
        <v>15</v>
      </c>
      <c r="M307" s="38"/>
    </row>
    <row r="308" spans="1:13" s="14" customFormat="1">
      <c r="A308" s="38">
        <v>14</v>
      </c>
      <c r="B308" s="43">
        <v>45785</v>
      </c>
      <c r="C308" s="39" t="s">
        <v>18</v>
      </c>
      <c r="D308" s="92" t="s">
        <v>335</v>
      </c>
      <c r="E308" s="38">
        <f t="shared" si="32"/>
        <v>1</v>
      </c>
      <c r="F308" s="38">
        <f t="shared" si="32"/>
        <v>65</v>
      </c>
      <c r="G308" s="38"/>
      <c r="H308" s="38"/>
      <c r="I308" s="38">
        <v>1</v>
      </c>
      <c r="J308" s="38">
        <v>65</v>
      </c>
      <c r="K308" s="38"/>
      <c r="L308" s="38"/>
      <c r="M308" s="38"/>
    </row>
    <row r="309" spans="1:13" s="12" customFormat="1">
      <c r="A309" s="38">
        <v>15</v>
      </c>
      <c r="B309" s="43">
        <v>45846</v>
      </c>
      <c r="C309" s="39" t="s">
        <v>18</v>
      </c>
      <c r="D309" s="39" t="s">
        <v>177</v>
      </c>
      <c r="E309" s="38">
        <f t="shared" si="32"/>
        <v>4</v>
      </c>
      <c r="F309" s="38">
        <f t="shared" si="32"/>
        <v>351</v>
      </c>
      <c r="G309" s="38">
        <v>1</v>
      </c>
      <c r="H309" s="38">
        <v>129</v>
      </c>
      <c r="I309" s="38">
        <v>3</v>
      </c>
      <c r="J309" s="38">
        <f>73+75+74</f>
        <v>222</v>
      </c>
      <c r="K309" s="38"/>
      <c r="L309" s="38"/>
      <c r="M309" s="38"/>
    </row>
    <row r="310" spans="1:13" s="12" customFormat="1">
      <c r="A310" s="38">
        <v>16</v>
      </c>
      <c r="B310" s="43">
        <v>45877</v>
      </c>
      <c r="C310" s="39" t="s">
        <v>18</v>
      </c>
      <c r="D310" s="39" t="s">
        <v>181</v>
      </c>
      <c r="E310" s="38">
        <f t="shared" si="32"/>
        <v>1</v>
      </c>
      <c r="F310" s="38">
        <f t="shared" si="32"/>
        <v>151</v>
      </c>
      <c r="G310" s="38">
        <v>1</v>
      </c>
      <c r="H310" s="38">
        <v>151</v>
      </c>
      <c r="I310" s="38"/>
      <c r="J310" s="38"/>
      <c r="K310" s="38"/>
      <c r="L310" s="38"/>
      <c r="M310" s="38"/>
    </row>
    <row r="311" spans="1:13" s="12" customFormat="1">
      <c r="A311" s="38">
        <v>17</v>
      </c>
      <c r="B311" s="43">
        <v>45908</v>
      </c>
      <c r="C311" s="39" t="s">
        <v>18</v>
      </c>
      <c r="D311" s="39" t="s">
        <v>183</v>
      </c>
      <c r="E311" s="38">
        <f t="shared" si="32"/>
        <v>2</v>
      </c>
      <c r="F311" s="38">
        <f t="shared" si="32"/>
        <v>283</v>
      </c>
      <c r="G311" s="38">
        <v>2</v>
      </c>
      <c r="H311" s="38">
        <f>155+128</f>
        <v>283</v>
      </c>
      <c r="I311" s="38"/>
      <c r="J311" s="38"/>
      <c r="K311" s="38"/>
      <c r="L311" s="38"/>
      <c r="M311" s="38"/>
    </row>
    <row r="312" spans="1:13" s="12" customFormat="1">
      <c r="A312" s="38"/>
      <c r="B312" s="43">
        <v>45999</v>
      </c>
      <c r="C312" s="39" t="s">
        <v>18</v>
      </c>
      <c r="D312" s="39" t="s">
        <v>183</v>
      </c>
      <c r="E312" s="38">
        <f>G312+I312+K312</f>
        <v>12</v>
      </c>
      <c r="F312" s="38">
        <f>H312+J312+L312</f>
        <v>122</v>
      </c>
      <c r="G312" s="38"/>
      <c r="H312" s="38"/>
      <c r="I312" s="38">
        <v>1</v>
      </c>
      <c r="J312" s="38">
        <v>23</v>
      </c>
      <c r="K312" s="38">
        <v>11</v>
      </c>
      <c r="L312" s="38">
        <v>99</v>
      </c>
      <c r="M312" s="38" t="s">
        <v>274</v>
      </c>
    </row>
    <row r="313" spans="1:13" s="14" customFormat="1">
      <c r="A313" s="38"/>
      <c r="B313" s="38" t="s">
        <v>216</v>
      </c>
      <c r="C313" s="39" t="s">
        <v>18</v>
      </c>
      <c r="D313" s="39" t="s">
        <v>183</v>
      </c>
      <c r="E313" s="38">
        <f>G313+I313+K313</f>
        <v>2</v>
      </c>
      <c r="F313" s="38">
        <f>H313+J313+L313</f>
        <v>207</v>
      </c>
      <c r="G313" s="38">
        <v>1</v>
      </c>
      <c r="H313" s="38">
        <v>129</v>
      </c>
      <c r="I313" s="38">
        <v>1</v>
      </c>
      <c r="J313" s="38">
        <v>78</v>
      </c>
      <c r="K313" s="38"/>
      <c r="L313" s="38"/>
      <c r="M313" s="38" t="s">
        <v>275</v>
      </c>
    </row>
    <row r="314" spans="1:13" s="14" customFormat="1">
      <c r="A314" s="38">
        <v>18</v>
      </c>
      <c r="B314" s="43">
        <v>45969</v>
      </c>
      <c r="C314" s="39" t="s">
        <v>18</v>
      </c>
      <c r="D314" s="39" t="s">
        <v>336</v>
      </c>
      <c r="E314" s="38">
        <f t="shared" ref="E314:F329" si="33">G314+I314+K314</f>
        <v>2</v>
      </c>
      <c r="F314" s="38">
        <f t="shared" si="33"/>
        <v>145</v>
      </c>
      <c r="G314" s="38">
        <v>2</v>
      </c>
      <c r="H314" s="38">
        <f>70+75</f>
        <v>145</v>
      </c>
      <c r="I314" s="38"/>
      <c r="J314" s="38"/>
      <c r="K314" s="38"/>
      <c r="L314" s="38"/>
      <c r="M314" s="38"/>
    </row>
    <row r="315" spans="1:13" s="14" customFormat="1">
      <c r="A315" s="38">
        <v>19</v>
      </c>
      <c r="B315" s="43">
        <v>45999</v>
      </c>
      <c r="C315" s="39" t="s">
        <v>18</v>
      </c>
      <c r="D315" s="39" t="s">
        <v>191</v>
      </c>
      <c r="E315" s="38">
        <f t="shared" si="33"/>
        <v>1</v>
      </c>
      <c r="F315" s="38">
        <f t="shared" si="33"/>
        <v>42</v>
      </c>
      <c r="G315" s="38"/>
      <c r="H315" s="38"/>
      <c r="I315" s="38">
        <v>1</v>
      </c>
      <c r="J315" s="38">
        <v>42</v>
      </c>
      <c r="K315" s="38"/>
      <c r="L315" s="38"/>
      <c r="M315" s="38"/>
    </row>
    <row r="316" spans="1:13" s="14" customFormat="1">
      <c r="A316" s="38"/>
      <c r="B316" s="38" t="s">
        <v>194</v>
      </c>
      <c r="C316" s="39" t="s">
        <v>18</v>
      </c>
      <c r="D316" s="39" t="s">
        <v>191</v>
      </c>
      <c r="E316" s="38">
        <f>G316+I316+K316</f>
        <v>1</v>
      </c>
      <c r="F316" s="38">
        <f>H316+J316+L316</f>
        <v>59</v>
      </c>
      <c r="G316" s="38"/>
      <c r="H316" s="38"/>
      <c r="I316" s="38">
        <v>1</v>
      </c>
      <c r="J316" s="38">
        <v>59</v>
      </c>
      <c r="K316" s="38"/>
      <c r="L316" s="38"/>
      <c r="M316" s="38" t="s">
        <v>274</v>
      </c>
    </row>
    <row r="317" spans="1:13" s="12" customFormat="1">
      <c r="A317" s="38">
        <v>20</v>
      </c>
      <c r="B317" s="43">
        <v>45999</v>
      </c>
      <c r="C317" s="39" t="s">
        <v>18</v>
      </c>
      <c r="D317" s="39" t="s">
        <v>192</v>
      </c>
      <c r="E317" s="38">
        <f t="shared" si="33"/>
        <v>1</v>
      </c>
      <c r="F317" s="38">
        <f t="shared" si="33"/>
        <v>124</v>
      </c>
      <c r="G317" s="38">
        <v>1</v>
      </c>
      <c r="H317" s="38">
        <v>124</v>
      </c>
      <c r="I317" s="38"/>
      <c r="J317" s="38"/>
      <c r="K317" s="38"/>
      <c r="L317" s="38"/>
      <c r="M317" s="38"/>
    </row>
    <row r="318" spans="1:13" s="12" customFormat="1">
      <c r="A318" s="38"/>
      <c r="B318" s="38" t="s">
        <v>203</v>
      </c>
      <c r="C318" s="39" t="s">
        <v>18</v>
      </c>
      <c r="D318" s="39" t="s">
        <v>192</v>
      </c>
      <c r="E318" s="38">
        <f t="shared" si="33"/>
        <v>15</v>
      </c>
      <c r="F318" s="38">
        <f t="shared" si="33"/>
        <v>219</v>
      </c>
      <c r="G318" s="38">
        <v>1</v>
      </c>
      <c r="H318" s="38">
        <v>130</v>
      </c>
      <c r="I318" s="38">
        <v>2</v>
      </c>
      <c r="J318" s="38">
        <f>41+42</f>
        <v>83</v>
      </c>
      <c r="K318" s="38">
        <v>12</v>
      </c>
      <c r="L318" s="38">
        <v>6</v>
      </c>
      <c r="M318" s="38" t="s">
        <v>274</v>
      </c>
    </row>
    <row r="319" spans="1:13" s="12" customFormat="1">
      <c r="A319" s="38">
        <v>21</v>
      </c>
      <c r="B319" s="43">
        <v>45999</v>
      </c>
      <c r="C319" s="39" t="s">
        <v>18</v>
      </c>
      <c r="D319" s="39" t="s">
        <v>337</v>
      </c>
      <c r="E319" s="38">
        <f t="shared" si="33"/>
        <v>1</v>
      </c>
      <c r="F319" s="38">
        <f t="shared" si="33"/>
        <v>67</v>
      </c>
      <c r="G319" s="38"/>
      <c r="H319" s="38"/>
      <c r="I319" s="38">
        <v>1</v>
      </c>
      <c r="J319" s="38">
        <v>67</v>
      </c>
      <c r="K319" s="38"/>
      <c r="L319" s="38"/>
      <c r="M319" s="38"/>
    </row>
    <row r="320" spans="1:13" s="12" customFormat="1">
      <c r="A320" s="38">
        <v>22</v>
      </c>
      <c r="B320" s="38" t="s">
        <v>194</v>
      </c>
      <c r="C320" s="39" t="s">
        <v>18</v>
      </c>
      <c r="D320" s="39" t="s">
        <v>197</v>
      </c>
      <c r="E320" s="38">
        <f t="shared" si="33"/>
        <v>1</v>
      </c>
      <c r="F320" s="38">
        <f t="shared" si="33"/>
        <v>205</v>
      </c>
      <c r="G320" s="38">
        <v>1</v>
      </c>
      <c r="H320" s="38">
        <v>205</v>
      </c>
      <c r="I320" s="38"/>
      <c r="J320" s="38"/>
      <c r="K320" s="38"/>
      <c r="L320" s="38"/>
      <c r="M320" s="38"/>
    </row>
    <row r="321" spans="1:13" s="14" customFormat="1">
      <c r="A321" s="38">
        <v>23</v>
      </c>
      <c r="B321" s="38" t="s">
        <v>199</v>
      </c>
      <c r="C321" s="39" t="s">
        <v>18</v>
      </c>
      <c r="D321" s="39" t="s">
        <v>200</v>
      </c>
      <c r="E321" s="38">
        <f t="shared" si="33"/>
        <v>1</v>
      </c>
      <c r="F321" s="38">
        <f t="shared" si="33"/>
        <v>124</v>
      </c>
      <c r="G321" s="38">
        <v>1</v>
      </c>
      <c r="H321" s="38">
        <v>124</v>
      </c>
      <c r="I321" s="38"/>
      <c r="J321" s="38"/>
      <c r="K321" s="38"/>
      <c r="L321" s="38"/>
      <c r="M321" s="38"/>
    </row>
    <row r="322" spans="1:13" s="12" customFormat="1">
      <c r="A322" s="38">
        <v>24</v>
      </c>
      <c r="B322" s="38" t="s">
        <v>201</v>
      </c>
      <c r="C322" s="39" t="s">
        <v>18</v>
      </c>
      <c r="D322" s="39" t="s">
        <v>202</v>
      </c>
      <c r="E322" s="38">
        <f t="shared" si="33"/>
        <v>1</v>
      </c>
      <c r="F322" s="38">
        <f t="shared" si="33"/>
        <v>85</v>
      </c>
      <c r="G322" s="38">
        <v>1</v>
      </c>
      <c r="H322" s="38">
        <v>85</v>
      </c>
      <c r="I322" s="38"/>
      <c r="J322" s="38"/>
      <c r="K322" s="38"/>
      <c r="L322" s="38"/>
      <c r="M322" s="38"/>
    </row>
    <row r="323" spans="1:13" s="12" customFormat="1">
      <c r="A323" s="38"/>
      <c r="B323" s="38" t="s">
        <v>203</v>
      </c>
      <c r="C323" s="39" t="s">
        <v>18</v>
      </c>
      <c r="D323" s="39" t="s">
        <v>202</v>
      </c>
      <c r="E323" s="38">
        <f t="shared" si="33"/>
        <v>1</v>
      </c>
      <c r="F323" s="38">
        <f t="shared" si="33"/>
        <v>136</v>
      </c>
      <c r="G323" s="38">
        <v>1</v>
      </c>
      <c r="H323" s="38">
        <v>136</v>
      </c>
      <c r="I323" s="38"/>
      <c r="J323" s="38"/>
      <c r="K323" s="38"/>
      <c r="L323" s="38"/>
      <c r="M323" s="38" t="s">
        <v>274</v>
      </c>
    </row>
    <row r="324" spans="1:13" s="12" customFormat="1">
      <c r="A324" s="38">
        <v>25</v>
      </c>
      <c r="B324" s="38" t="s">
        <v>210</v>
      </c>
      <c r="C324" s="39" t="s">
        <v>18</v>
      </c>
      <c r="D324" s="39" t="s">
        <v>211</v>
      </c>
      <c r="E324" s="38">
        <f t="shared" si="33"/>
        <v>2</v>
      </c>
      <c r="F324" s="38">
        <f t="shared" si="33"/>
        <v>159</v>
      </c>
      <c r="G324" s="38">
        <v>1</v>
      </c>
      <c r="H324" s="38">
        <v>99</v>
      </c>
      <c r="I324" s="38">
        <v>1</v>
      </c>
      <c r="J324" s="38">
        <v>60</v>
      </c>
      <c r="K324" s="38"/>
      <c r="L324" s="38"/>
      <c r="M324" s="38"/>
    </row>
    <row r="325" spans="1:13" s="14" customFormat="1">
      <c r="A325" s="38"/>
      <c r="B325" s="38" t="s">
        <v>227</v>
      </c>
      <c r="C325" s="39" t="s">
        <v>18</v>
      </c>
      <c r="D325" s="39" t="s">
        <v>211</v>
      </c>
      <c r="E325" s="38">
        <f>G325+I325+K325</f>
        <v>8</v>
      </c>
      <c r="F325" s="38">
        <f>H325+J325+L325</f>
        <v>540</v>
      </c>
      <c r="G325" s="38">
        <v>3</v>
      </c>
      <c r="H325" s="38">
        <f>124+92+89</f>
        <v>305</v>
      </c>
      <c r="I325" s="38">
        <v>5</v>
      </c>
      <c r="J325" s="38">
        <f>52+54+50+57+22</f>
        <v>235</v>
      </c>
      <c r="K325" s="38"/>
      <c r="L325" s="38"/>
      <c r="M325" s="38" t="s">
        <v>274</v>
      </c>
    </row>
    <row r="326" spans="1:13" s="14" customFormat="1">
      <c r="A326" s="38">
        <v>26</v>
      </c>
      <c r="B326" s="38" t="s">
        <v>210</v>
      </c>
      <c r="C326" s="39" t="s">
        <v>18</v>
      </c>
      <c r="D326" s="39" t="s">
        <v>212</v>
      </c>
      <c r="E326" s="38">
        <f t="shared" si="33"/>
        <v>3</v>
      </c>
      <c r="F326" s="38">
        <f t="shared" si="33"/>
        <v>543</v>
      </c>
      <c r="G326" s="38">
        <v>3</v>
      </c>
      <c r="H326" s="38">
        <f>194+190+159</f>
        <v>543</v>
      </c>
      <c r="I326" s="38"/>
      <c r="J326" s="38"/>
      <c r="K326" s="38"/>
      <c r="L326" s="38"/>
      <c r="M326" s="38" t="s">
        <v>248</v>
      </c>
    </row>
    <row r="327" spans="1:13" s="12" customFormat="1">
      <c r="A327" s="38">
        <v>27</v>
      </c>
      <c r="B327" s="38" t="s">
        <v>221</v>
      </c>
      <c r="C327" s="39" t="s">
        <v>18</v>
      </c>
      <c r="D327" s="39" t="s">
        <v>222</v>
      </c>
      <c r="E327" s="38">
        <f t="shared" si="33"/>
        <v>2</v>
      </c>
      <c r="F327" s="38">
        <f t="shared" si="33"/>
        <v>225</v>
      </c>
      <c r="G327" s="38">
        <v>1</v>
      </c>
      <c r="H327" s="38">
        <v>189</v>
      </c>
      <c r="I327" s="38">
        <v>1</v>
      </c>
      <c r="J327" s="38">
        <v>36</v>
      </c>
      <c r="K327" s="38"/>
      <c r="L327" s="38"/>
      <c r="M327" s="38"/>
    </row>
    <row r="328" spans="1:13" s="12" customFormat="1">
      <c r="A328" s="38"/>
      <c r="B328" s="38" t="s">
        <v>227</v>
      </c>
      <c r="C328" s="39" t="s">
        <v>18</v>
      </c>
      <c r="D328" s="39" t="s">
        <v>222</v>
      </c>
      <c r="E328" s="38">
        <f>G328+I328+K328</f>
        <v>11</v>
      </c>
      <c r="F328" s="38">
        <f>H328+J328+L328</f>
        <v>197</v>
      </c>
      <c r="G328" s="38"/>
      <c r="H328" s="38"/>
      <c r="I328" s="38">
        <v>11</v>
      </c>
      <c r="J328" s="38">
        <f>51+53+49+44</f>
        <v>197</v>
      </c>
      <c r="K328" s="38"/>
      <c r="L328" s="38"/>
      <c r="M328" s="38" t="s">
        <v>274</v>
      </c>
    </row>
    <row r="329" spans="1:13" s="12" customFormat="1">
      <c r="A329" s="38">
        <v>28</v>
      </c>
      <c r="B329" s="38" t="s">
        <v>223</v>
      </c>
      <c r="C329" s="39" t="s">
        <v>18</v>
      </c>
      <c r="D329" s="39" t="s">
        <v>339</v>
      </c>
      <c r="E329" s="38">
        <f t="shared" si="33"/>
        <v>2</v>
      </c>
      <c r="F329" s="38">
        <f t="shared" si="33"/>
        <v>95</v>
      </c>
      <c r="G329" s="38">
        <v>1</v>
      </c>
      <c r="H329" s="38">
        <v>68</v>
      </c>
      <c r="I329" s="38">
        <v>1</v>
      </c>
      <c r="J329" s="38">
        <v>27</v>
      </c>
      <c r="K329" s="38"/>
      <c r="L329" s="38"/>
      <c r="M329" s="38"/>
    </row>
    <row r="330" spans="1:13" s="14" customFormat="1">
      <c r="A330" s="38">
        <v>29</v>
      </c>
      <c r="B330" s="38" t="s">
        <v>228</v>
      </c>
      <c r="C330" s="39" t="s">
        <v>18</v>
      </c>
      <c r="D330" s="39" t="s">
        <v>340</v>
      </c>
      <c r="E330" s="38">
        <f t="shared" ref="E330:F330" si="34">G330+I330+K330</f>
        <v>1</v>
      </c>
      <c r="F330" s="38">
        <f t="shared" si="34"/>
        <v>118</v>
      </c>
      <c r="G330" s="38">
        <v>1</v>
      </c>
      <c r="H330" s="38">
        <v>118</v>
      </c>
      <c r="I330" s="38"/>
      <c r="J330" s="38"/>
      <c r="K330" s="38"/>
      <c r="L330" s="38"/>
      <c r="M330" s="38" t="s">
        <v>248</v>
      </c>
    </row>
    <row r="331" spans="1:13" s="24" customFormat="1" ht="14.25">
      <c r="A331" s="101" t="s">
        <v>257</v>
      </c>
      <c r="B331" s="111" t="s">
        <v>258</v>
      </c>
      <c r="C331" s="111"/>
      <c r="D331" s="133"/>
      <c r="E331" s="132">
        <f t="shared" ref="E331:L331" si="35">SUM(E332:E348)</f>
        <v>57</v>
      </c>
      <c r="F331" s="132">
        <f t="shared" si="35"/>
        <v>4232</v>
      </c>
      <c r="G331" s="132">
        <f t="shared" si="35"/>
        <v>19</v>
      </c>
      <c r="H331" s="132">
        <f t="shared" si="35"/>
        <v>3259</v>
      </c>
      <c r="I331" s="132">
        <f t="shared" si="35"/>
        <v>18</v>
      </c>
      <c r="J331" s="132">
        <f t="shared" si="35"/>
        <v>877</v>
      </c>
      <c r="K331" s="132">
        <f t="shared" si="35"/>
        <v>20</v>
      </c>
      <c r="L331" s="132">
        <f t="shared" si="35"/>
        <v>96</v>
      </c>
      <c r="M331" s="101"/>
    </row>
    <row r="332" spans="1:13" s="12" customFormat="1">
      <c r="A332" s="38">
        <v>1</v>
      </c>
      <c r="B332" s="38" t="s">
        <v>42</v>
      </c>
      <c r="C332" s="39" t="s">
        <v>47</v>
      </c>
      <c r="D332" s="39" t="s">
        <v>48</v>
      </c>
      <c r="E332" s="38">
        <f t="shared" ref="E332:F333" si="36">G332+I332+K332</f>
        <v>6</v>
      </c>
      <c r="F332" s="130">
        <f t="shared" si="36"/>
        <v>432</v>
      </c>
      <c r="G332" s="38">
        <v>2</v>
      </c>
      <c r="H332" s="38">
        <f>274+97</f>
        <v>371</v>
      </c>
      <c r="I332" s="38">
        <v>4</v>
      </c>
      <c r="J332" s="38">
        <f>16+45</f>
        <v>61</v>
      </c>
      <c r="K332" s="38"/>
      <c r="L332" s="38"/>
      <c r="M332" s="38"/>
    </row>
    <row r="333" spans="1:13" s="12" customFormat="1">
      <c r="A333" s="38">
        <v>2</v>
      </c>
      <c r="B333" s="43">
        <v>45665</v>
      </c>
      <c r="C333" s="39" t="s">
        <v>47</v>
      </c>
      <c r="D333" s="39" t="s">
        <v>139</v>
      </c>
      <c r="E333" s="38">
        <f t="shared" si="36"/>
        <v>2</v>
      </c>
      <c r="F333" s="38">
        <f t="shared" si="36"/>
        <v>511</v>
      </c>
      <c r="G333" s="38">
        <v>2</v>
      </c>
      <c r="H333" s="38">
        <f>283+228</f>
        <v>511</v>
      </c>
      <c r="I333" s="38"/>
      <c r="J333" s="38"/>
      <c r="K333" s="38"/>
      <c r="L333" s="38"/>
      <c r="M333" s="38"/>
    </row>
    <row r="334" spans="1:13" s="12" customFormat="1">
      <c r="A334" s="38"/>
      <c r="B334" s="43">
        <v>45908</v>
      </c>
      <c r="C334" s="39" t="s">
        <v>47</v>
      </c>
      <c r="D334" s="39" t="s">
        <v>139</v>
      </c>
      <c r="E334" s="38">
        <f>G334+I334+K334</f>
        <v>1</v>
      </c>
      <c r="F334" s="38">
        <f>H334+J334+L334</f>
        <v>249</v>
      </c>
      <c r="G334" s="38">
        <v>1</v>
      </c>
      <c r="H334" s="38">
        <v>249</v>
      </c>
      <c r="I334" s="38"/>
      <c r="J334" s="38"/>
      <c r="K334" s="38"/>
      <c r="L334" s="38"/>
      <c r="M334" s="38" t="s">
        <v>274</v>
      </c>
    </row>
    <row r="335" spans="1:13" s="12" customFormat="1">
      <c r="A335" s="38">
        <v>3</v>
      </c>
      <c r="B335" s="43">
        <v>45696</v>
      </c>
      <c r="C335" s="39" t="s">
        <v>47</v>
      </c>
      <c r="D335" s="39" t="s">
        <v>149</v>
      </c>
      <c r="E335" s="38">
        <f t="shared" ref="E335:F339" si="37">G335+I335+K335</f>
        <v>2</v>
      </c>
      <c r="F335" s="38">
        <f t="shared" si="37"/>
        <v>242</v>
      </c>
      <c r="G335" s="38">
        <v>2</v>
      </c>
      <c r="H335" s="38">
        <f>144+98</f>
        <v>242</v>
      </c>
      <c r="I335" s="38"/>
      <c r="J335" s="38"/>
      <c r="K335" s="38"/>
      <c r="L335" s="38"/>
      <c r="M335" s="38"/>
    </row>
    <row r="336" spans="1:13" s="12" customFormat="1">
      <c r="A336" s="38">
        <v>4</v>
      </c>
      <c r="B336" s="43">
        <v>45696</v>
      </c>
      <c r="C336" s="39" t="s">
        <v>47</v>
      </c>
      <c r="D336" s="39" t="s">
        <v>150</v>
      </c>
      <c r="E336" s="38">
        <f t="shared" si="37"/>
        <v>1</v>
      </c>
      <c r="F336" s="38">
        <f t="shared" si="37"/>
        <v>166</v>
      </c>
      <c r="G336" s="38">
        <v>1</v>
      </c>
      <c r="H336" s="38">
        <v>166</v>
      </c>
      <c r="I336" s="38"/>
      <c r="J336" s="38"/>
      <c r="K336" s="38"/>
      <c r="L336" s="38"/>
      <c r="M336" s="38"/>
    </row>
    <row r="337" spans="1:13" s="14" customFormat="1">
      <c r="A337" s="38"/>
      <c r="B337" s="43">
        <v>45785</v>
      </c>
      <c r="C337" s="39" t="s">
        <v>47</v>
      </c>
      <c r="D337" s="39" t="s">
        <v>150</v>
      </c>
      <c r="E337" s="38">
        <f t="shared" si="37"/>
        <v>2</v>
      </c>
      <c r="F337" s="38">
        <f t="shared" si="37"/>
        <v>79</v>
      </c>
      <c r="G337" s="38">
        <v>1</v>
      </c>
      <c r="H337" s="38">
        <v>67</v>
      </c>
      <c r="I337" s="38">
        <v>1</v>
      </c>
      <c r="J337" s="38">
        <v>12</v>
      </c>
      <c r="K337" s="38"/>
      <c r="L337" s="38"/>
      <c r="M337" s="38" t="s">
        <v>274</v>
      </c>
    </row>
    <row r="338" spans="1:13" s="14" customFormat="1">
      <c r="A338" s="38"/>
      <c r="B338" s="43">
        <v>45908</v>
      </c>
      <c r="C338" s="39" t="s">
        <v>47</v>
      </c>
      <c r="D338" s="39" t="s">
        <v>150</v>
      </c>
      <c r="E338" s="38">
        <f t="shared" si="37"/>
        <v>7</v>
      </c>
      <c r="F338" s="38">
        <f t="shared" si="37"/>
        <v>497</v>
      </c>
      <c r="G338" s="38">
        <v>3</v>
      </c>
      <c r="H338" s="38">
        <f>99+155+133</f>
        <v>387</v>
      </c>
      <c r="I338" s="38">
        <v>2</v>
      </c>
      <c r="J338" s="38">
        <f>39+57</f>
        <v>96</v>
      </c>
      <c r="K338" s="38">
        <v>2</v>
      </c>
      <c r="L338" s="38">
        <v>14</v>
      </c>
      <c r="M338" s="38" t="s">
        <v>275</v>
      </c>
    </row>
    <row r="339" spans="1:13" s="12" customFormat="1">
      <c r="A339" s="38">
        <v>5</v>
      </c>
      <c r="B339" s="43">
        <v>45969</v>
      </c>
      <c r="C339" s="39" t="s">
        <v>47</v>
      </c>
      <c r="D339" s="39" t="s">
        <v>187</v>
      </c>
      <c r="E339" s="38">
        <f t="shared" si="37"/>
        <v>1</v>
      </c>
      <c r="F339" s="38">
        <f t="shared" si="37"/>
        <v>103</v>
      </c>
      <c r="G339" s="38">
        <v>1</v>
      </c>
      <c r="H339" s="38">
        <v>103</v>
      </c>
      <c r="I339" s="38"/>
      <c r="J339" s="38"/>
      <c r="K339" s="38"/>
      <c r="L339" s="38"/>
      <c r="M339" s="38"/>
    </row>
    <row r="340" spans="1:13" s="14" customFormat="1">
      <c r="A340" s="38"/>
      <c r="B340" s="38" t="s">
        <v>199</v>
      </c>
      <c r="C340" s="39" t="s">
        <v>47</v>
      </c>
      <c r="D340" s="39" t="s">
        <v>187</v>
      </c>
      <c r="E340" s="38">
        <f>G340+I340+K340</f>
        <v>13</v>
      </c>
      <c r="F340" s="38">
        <f>H340+J340+L340</f>
        <v>655</v>
      </c>
      <c r="G340" s="38">
        <f>3</f>
        <v>3</v>
      </c>
      <c r="H340" s="38">
        <f>214+171+157</f>
        <v>542</v>
      </c>
      <c r="I340" s="38">
        <v>1</v>
      </c>
      <c r="J340" s="38">
        <v>91</v>
      </c>
      <c r="K340" s="38">
        <f>9</f>
        <v>9</v>
      </c>
      <c r="L340" s="38">
        <v>22</v>
      </c>
      <c r="M340" s="38" t="s">
        <v>274</v>
      </c>
    </row>
    <row r="341" spans="1:13" s="14" customFormat="1">
      <c r="A341" s="38">
        <v>6</v>
      </c>
      <c r="B341" s="38" t="s">
        <v>194</v>
      </c>
      <c r="C341" s="39" t="s">
        <v>47</v>
      </c>
      <c r="D341" s="39" t="s">
        <v>198</v>
      </c>
      <c r="E341" s="38">
        <f t="shared" ref="E341:F348" si="38">G341+I341+K341</f>
        <v>2</v>
      </c>
      <c r="F341" s="38">
        <f t="shared" si="38"/>
        <v>56</v>
      </c>
      <c r="G341" s="38"/>
      <c r="H341" s="38"/>
      <c r="I341" s="38">
        <v>2</v>
      </c>
      <c r="J341" s="38">
        <f>29+27</f>
        <v>56</v>
      </c>
      <c r="K341" s="38"/>
      <c r="L341" s="38"/>
      <c r="M341" s="38"/>
    </row>
    <row r="342" spans="1:13" s="14" customFormat="1">
      <c r="A342" s="38">
        <v>7</v>
      </c>
      <c r="B342" s="38" t="s">
        <v>210</v>
      </c>
      <c r="C342" s="39" t="s">
        <v>47</v>
      </c>
      <c r="D342" s="39" t="s">
        <v>213</v>
      </c>
      <c r="E342" s="38">
        <f t="shared" si="38"/>
        <v>1</v>
      </c>
      <c r="F342" s="38">
        <f t="shared" si="38"/>
        <v>218</v>
      </c>
      <c r="G342" s="38">
        <v>1</v>
      </c>
      <c r="H342" s="38">
        <v>218</v>
      </c>
      <c r="I342" s="38"/>
      <c r="J342" s="38"/>
      <c r="K342" s="38"/>
      <c r="L342" s="38"/>
      <c r="M342" s="38"/>
    </row>
    <row r="343" spans="1:13" s="12" customFormat="1">
      <c r="A343" s="38"/>
      <c r="B343" s="38" t="s">
        <v>221</v>
      </c>
      <c r="C343" s="39" t="s">
        <v>47</v>
      </c>
      <c r="D343" s="39" t="s">
        <v>213</v>
      </c>
      <c r="E343" s="38">
        <f>G343+I343+K343</f>
        <v>9</v>
      </c>
      <c r="F343" s="38">
        <f>H343+J343+L343</f>
        <v>60</v>
      </c>
      <c r="G343" s="38"/>
      <c r="H343" s="38"/>
      <c r="I343" s="38"/>
      <c r="J343" s="38"/>
      <c r="K343" s="38">
        <v>9</v>
      </c>
      <c r="L343" s="38">
        <v>60</v>
      </c>
      <c r="M343" s="38" t="s">
        <v>274</v>
      </c>
    </row>
    <row r="344" spans="1:13" s="14" customFormat="1">
      <c r="A344" s="38">
        <v>8</v>
      </c>
      <c r="B344" s="38" t="s">
        <v>210</v>
      </c>
      <c r="C344" s="39" t="s">
        <v>47</v>
      </c>
      <c r="D344" s="39" t="s">
        <v>214</v>
      </c>
      <c r="E344" s="38">
        <f t="shared" si="38"/>
        <v>3</v>
      </c>
      <c r="F344" s="38">
        <f t="shared" si="38"/>
        <v>272</v>
      </c>
      <c r="G344" s="38">
        <v>1</v>
      </c>
      <c r="H344" s="38">
        <v>187</v>
      </c>
      <c r="I344" s="38">
        <v>2</v>
      </c>
      <c r="J344" s="38">
        <f>45+40</f>
        <v>85</v>
      </c>
      <c r="K344" s="38"/>
      <c r="L344" s="38"/>
      <c r="M344" s="38"/>
    </row>
    <row r="345" spans="1:13" s="14" customFormat="1">
      <c r="A345" s="38">
        <v>9</v>
      </c>
      <c r="B345" s="38" t="s">
        <v>223</v>
      </c>
      <c r="C345" s="39" t="s">
        <v>47</v>
      </c>
      <c r="D345" s="39" t="s">
        <v>225</v>
      </c>
      <c r="E345" s="38">
        <f t="shared" si="38"/>
        <v>1</v>
      </c>
      <c r="F345" s="38">
        <f t="shared" si="38"/>
        <v>75</v>
      </c>
      <c r="G345" s="38"/>
      <c r="H345" s="38"/>
      <c r="I345" s="38">
        <v>1</v>
      </c>
      <c r="J345" s="38">
        <v>75</v>
      </c>
      <c r="K345" s="38"/>
      <c r="L345" s="38"/>
      <c r="M345" s="38"/>
    </row>
    <row r="346" spans="1:13" s="14" customFormat="1">
      <c r="A346" s="38"/>
      <c r="B346" s="38" t="s">
        <v>230</v>
      </c>
      <c r="C346" s="39" t="s">
        <v>47</v>
      </c>
      <c r="D346" s="39" t="s">
        <v>225</v>
      </c>
      <c r="E346" s="38">
        <f t="shared" si="38"/>
        <v>2</v>
      </c>
      <c r="F346" s="38">
        <f t="shared" si="38"/>
        <v>190</v>
      </c>
      <c r="G346" s="38"/>
      <c r="H346" s="38"/>
      <c r="I346" s="38">
        <v>2</v>
      </c>
      <c r="J346" s="38">
        <f>94+96</f>
        <v>190</v>
      </c>
      <c r="K346" s="38"/>
      <c r="L346" s="38"/>
      <c r="M346" s="38" t="s">
        <v>274</v>
      </c>
    </row>
    <row r="347" spans="1:13" s="12" customFormat="1">
      <c r="A347" s="38">
        <v>10</v>
      </c>
      <c r="B347" s="38" t="s">
        <v>232</v>
      </c>
      <c r="C347" s="39" t="s">
        <v>47</v>
      </c>
      <c r="D347" s="39" t="s">
        <v>233</v>
      </c>
      <c r="E347" s="38">
        <f t="shared" si="38"/>
        <v>3</v>
      </c>
      <c r="F347" s="38">
        <f t="shared" si="38"/>
        <v>211</v>
      </c>
      <c r="G347" s="38"/>
      <c r="H347" s="38"/>
      <c r="I347" s="38">
        <v>3</v>
      </c>
      <c r="J347" s="38">
        <f>67+71+73</f>
        <v>211</v>
      </c>
      <c r="K347" s="38"/>
      <c r="L347" s="38"/>
      <c r="M347" s="38"/>
    </row>
    <row r="348" spans="1:13" s="14" customFormat="1">
      <c r="A348" s="38">
        <v>11</v>
      </c>
      <c r="B348" s="38" t="s">
        <v>239</v>
      </c>
      <c r="C348" s="39" t="s">
        <v>47</v>
      </c>
      <c r="D348" s="39" t="s">
        <v>240</v>
      </c>
      <c r="E348" s="38">
        <f t="shared" si="38"/>
        <v>1</v>
      </c>
      <c r="F348" s="38">
        <f t="shared" si="38"/>
        <v>216</v>
      </c>
      <c r="G348" s="38">
        <v>1</v>
      </c>
      <c r="H348" s="38">
        <v>216</v>
      </c>
      <c r="I348" s="38"/>
      <c r="J348" s="38"/>
      <c r="K348" s="38"/>
      <c r="L348" s="38"/>
      <c r="M348" s="38"/>
    </row>
    <row r="349" spans="1:13" s="24" customFormat="1" ht="14.25">
      <c r="A349" s="101" t="s">
        <v>259</v>
      </c>
      <c r="B349" s="111" t="s">
        <v>260</v>
      </c>
      <c r="C349" s="111"/>
      <c r="D349" s="133"/>
      <c r="E349" s="101">
        <f t="shared" ref="E349:L349" si="39">E350+E351</f>
        <v>2</v>
      </c>
      <c r="F349" s="101">
        <f t="shared" si="39"/>
        <v>106</v>
      </c>
      <c r="G349" s="101">
        <f t="shared" si="39"/>
        <v>0</v>
      </c>
      <c r="H349" s="101">
        <f t="shared" si="39"/>
        <v>0</v>
      </c>
      <c r="I349" s="101">
        <f t="shared" si="39"/>
        <v>2</v>
      </c>
      <c r="J349" s="101">
        <f t="shared" si="39"/>
        <v>106</v>
      </c>
      <c r="K349" s="101">
        <f t="shared" si="39"/>
        <v>0</v>
      </c>
      <c r="L349" s="101">
        <f t="shared" si="39"/>
        <v>0</v>
      </c>
      <c r="M349" s="101"/>
    </row>
    <row r="350" spans="1:13" s="14" customFormat="1">
      <c r="A350" s="47">
        <v>1</v>
      </c>
      <c r="B350" s="44" t="s">
        <v>20</v>
      </c>
      <c r="C350" s="45" t="s">
        <v>21</v>
      </c>
      <c r="D350" s="45" t="s">
        <v>22</v>
      </c>
      <c r="E350" s="135">
        <f t="shared" ref="E350:F351" si="40">G350+I350+K350</f>
        <v>1</v>
      </c>
      <c r="F350" s="135">
        <f t="shared" si="40"/>
        <v>51</v>
      </c>
      <c r="G350" s="47"/>
      <c r="H350" s="48"/>
      <c r="I350" s="47">
        <v>1</v>
      </c>
      <c r="J350" s="48">
        <v>51</v>
      </c>
      <c r="K350" s="47"/>
      <c r="L350" s="48"/>
      <c r="M350" s="47"/>
    </row>
    <row r="351" spans="1:13" s="14" customFormat="1">
      <c r="A351" s="47"/>
      <c r="B351" s="47" t="s">
        <v>86</v>
      </c>
      <c r="C351" s="45" t="s">
        <v>21</v>
      </c>
      <c r="D351" s="45" t="s">
        <v>22</v>
      </c>
      <c r="E351" s="47">
        <f t="shared" si="40"/>
        <v>1</v>
      </c>
      <c r="F351" s="47">
        <f t="shared" si="40"/>
        <v>55</v>
      </c>
      <c r="G351" s="47"/>
      <c r="H351" s="47"/>
      <c r="I351" s="47">
        <v>1</v>
      </c>
      <c r="J351" s="47">
        <v>55</v>
      </c>
      <c r="K351" s="47"/>
      <c r="L351" s="47"/>
      <c r="M351" s="38" t="s">
        <v>274</v>
      </c>
    </row>
    <row r="352" spans="1:13" s="24" customFormat="1" ht="14.25">
      <c r="A352" s="101" t="s">
        <v>261</v>
      </c>
      <c r="B352" s="131" t="s">
        <v>243</v>
      </c>
      <c r="C352" s="131"/>
      <c r="D352" s="133"/>
      <c r="E352" s="132">
        <f t="shared" ref="E352:L352" si="41">E353+E354+E355+E356</f>
        <v>47</v>
      </c>
      <c r="F352" s="132">
        <f t="shared" si="41"/>
        <v>2282</v>
      </c>
      <c r="G352" s="132">
        <f t="shared" si="41"/>
        <v>1</v>
      </c>
      <c r="H352" s="132">
        <f t="shared" si="41"/>
        <v>94</v>
      </c>
      <c r="I352" s="132">
        <f t="shared" si="41"/>
        <v>46</v>
      </c>
      <c r="J352" s="132">
        <f t="shared" si="41"/>
        <v>2188</v>
      </c>
      <c r="K352" s="132">
        <f t="shared" si="41"/>
        <v>0</v>
      </c>
      <c r="L352" s="132">
        <f t="shared" si="41"/>
        <v>0</v>
      </c>
      <c r="M352" s="101"/>
    </row>
    <row r="353" spans="1:13" s="14" customFormat="1">
      <c r="A353" s="47">
        <v>1</v>
      </c>
      <c r="B353" s="47" t="s">
        <v>108</v>
      </c>
      <c r="C353" s="45" t="s">
        <v>116</v>
      </c>
      <c r="D353" s="45" t="s">
        <v>117</v>
      </c>
      <c r="E353" s="47">
        <f t="shared" ref="E353:F356" si="42">G353+I353+K353</f>
        <v>3</v>
      </c>
      <c r="F353" s="47">
        <f t="shared" si="42"/>
        <v>277</v>
      </c>
      <c r="G353" s="47"/>
      <c r="H353" s="47"/>
      <c r="I353" s="47">
        <v>3</v>
      </c>
      <c r="J353" s="47">
        <f>89+95+93</f>
        <v>277</v>
      </c>
      <c r="K353" s="47"/>
      <c r="L353" s="47"/>
      <c r="M353" s="47"/>
    </row>
    <row r="354" spans="1:13" s="14" customFormat="1">
      <c r="A354" s="47">
        <v>2</v>
      </c>
      <c r="B354" s="44">
        <v>45999</v>
      </c>
      <c r="C354" s="45" t="s">
        <v>116</v>
      </c>
      <c r="D354" s="45" t="s">
        <v>189</v>
      </c>
      <c r="E354" s="47">
        <f t="shared" si="42"/>
        <v>1</v>
      </c>
      <c r="F354" s="47">
        <f t="shared" si="42"/>
        <v>94</v>
      </c>
      <c r="G354" s="47">
        <v>1</v>
      </c>
      <c r="H354" s="47">
        <v>94</v>
      </c>
      <c r="I354" s="47"/>
      <c r="J354" s="47"/>
      <c r="K354" s="47"/>
      <c r="L354" s="47"/>
      <c r="M354" s="47"/>
    </row>
    <row r="355" spans="1:13" s="12" customFormat="1">
      <c r="A355" s="47"/>
      <c r="B355" s="47" t="s">
        <v>232</v>
      </c>
      <c r="C355" s="45" t="s">
        <v>116</v>
      </c>
      <c r="D355" s="45" t="s">
        <v>189</v>
      </c>
      <c r="E355" s="47">
        <f t="shared" si="42"/>
        <v>2</v>
      </c>
      <c r="F355" s="47">
        <f t="shared" si="42"/>
        <v>90</v>
      </c>
      <c r="G355" s="47"/>
      <c r="H355" s="47"/>
      <c r="I355" s="47">
        <v>2</v>
      </c>
      <c r="J355" s="47">
        <f>46+44</f>
        <v>90</v>
      </c>
      <c r="K355" s="47"/>
      <c r="L355" s="47"/>
      <c r="M355" s="38" t="s">
        <v>274</v>
      </c>
    </row>
    <row r="356" spans="1:13" s="14" customFormat="1">
      <c r="A356" s="47"/>
      <c r="B356" s="47" t="s">
        <v>242</v>
      </c>
      <c r="C356" s="45" t="s">
        <v>243</v>
      </c>
      <c r="D356" s="45" t="s">
        <v>189</v>
      </c>
      <c r="E356" s="47">
        <f t="shared" si="42"/>
        <v>41</v>
      </c>
      <c r="F356" s="47">
        <f t="shared" si="42"/>
        <v>1821</v>
      </c>
      <c r="G356" s="47"/>
      <c r="H356" s="47"/>
      <c r="I356" s="47">
        <f>21+20</f>
        <v>41</v>
      </c>
      <c r="J356" s="47">
        <f>74+76+72+77+71+37+72+68+94+96+92+82+84+80+86+78+41+55+57+60+52+64+69+59+62+63</f>
        <v>1821</v>
      </c>
      <c r="K356" s="47"/>
      <c r="L356" s="47"/>
      <c r="M356" s="38" t="s">
        <v>275</v>
      </c>
    </row>
    <row r="357" spans="1:13" s="28" customFormat="1" ht="14.25">
      <c r="A357" s="101" t="s">
        <v>262</v>
      </c>
      <c r="B357" s="131" t="s">
        <v>263</v>
      </c>
      <c r="C357" s="131"/>
      <c r="D357" s="133"/>
      <c r="E357" s="101">
        <f t="shared" ref="E357:J357" si="43">E358+E359</f>
        <v>3</v>
      </c>
      <c r="F357" s="101">
        <f t="shared" si="43"/>
        <v>36</v>
      </c>
      <c r="G357" s="101"/>
      <c r="H357" s="101"/>
      <c r="I357" s="101">
        <f t="shared" si="43"/>
        <v>3</v>
      </c>
      <c r="J357" s="101">
        <f t="shared" si="43"/>
        <v>36</v>
      </c>
      <c r="K357" s="101"/>
      <c r="L357" s="101"/>
      <c r="M357" s="101"/>
    </row>
    <row r="358" spans="1:13" s="14" customFormat="1">
      <c r="A358" s="47">
        <v>1</v>
      </c>
      <c r="B358" s="44">
        <v>45665</v>
      </c>
      <c r="C358" s="45" t="s">
        <v>140</v>
      </c>
      <c r="D358" s="45" t="s">
        <v>141</v>
      </c>
      <c r="E358" s="47">
        <f t="shared" ref="E358:F359" si="44">G358+I358+K358</f>
        <v>2</v>
      </c>
      <c r="F358" s="47">
        <f t="shared" si="44"/>
        <v>24</v>
      </c>
      <c r="G358" s="47"/>
      <c r="H358" s="47"/>
      <c r="I358" s="47">
        <v>2</v>
      </c>
      <c r="J358" s="47">
        <f>24</f>
        <v>24</v>
      </c>
      <c r="K358" s="47"/>
      <c r="L358" s="47"/>
      <c r="M358" s="47"/>
    </row>
    <row r="359" spans="1:13" s="14" customFormat="1">
      <c r="A359" s="47"/>
      <c r="B359" s="44">
        <v>45724</v>
      </c>
      <c r="C359" s="45" t="s">
        <v>140</v>
      </c>
      <c r="D359" s="45" t="s">
        <v>141</v>
      </c>
      <c r="E359" s="47">
        <f t="shared" si="44"/>
        <v>1</v>
      </c>
      <c r="F359" s="47">
        <f t="shared" si="44"/>
        <v>12</v>
      </c>
      <c r="G359" s="47"/>
      <c r="H359" s="47"/>
      <c r="I359" s="47">
        <v>1</v>
      </c>
      <c r="J359" s="47">
        <v>12</v>
      </c>
      <c r="K359" s="47"/>
      <c r="L359" s="47"/>
      <c r="M359" s="38" t="s">
        <v>274</v>
      </c>
    </row>
    <row r="360" spans="1:13" s="28" customFormat="1" ht="14.25">
      <c r="A360" s="101" t="s">
        <v>264</v>
      </c>
      <c r="B360" s="131" t="s">
        <v>235</v>
      </c>
      <c r="C360" s="131"/>
      <c r="D360" s="133"/>
      <c r="E360" s="101">
        <f t="shared" ref="E360:J360" si="45">E361+E362</f>
        <v>4</v>
      </c>
      <c r="F360" s="101">
        <f t="shared" si="45"/>
        <v>239</v>
      </c>
      <c r="G360" s="101">
        <f t="shared" si="45"/>
        <v>0</v>
      </c>
      <c r="H360" s="101">
        <f t="shared" si="45"/>
        <v>0</v>
      </c>
      <c r="I360" s="101">
        <f t="shared" si="45"/>
        <v>4</v>
      </c>
      <c r="J360" s="101">
        <f t="shared" si="45"/>
        <v>239</v>
      </c>
      <c r="K360" s="101"/>
      <c r="L360" s="101"/>
      <c r="M360" s="101"/>
    </row>
    <row r="361" spans="1:13" s="14" customFormat="1">
      <c r="A361" s="47">
        <v>1</v>
      </c>
      <c r="B361" s="47" t="s">
        <v>234</v>
      </c>
      <c r="C361" s="45" t="s">
        <v>235</v>
      </c>
      <c r="D361" s="45" t="s">
        <v>236</v>
      </c>
      <c r="E361" s="47">
        <f t="shared" ref="E361:F362" si="46">G361+I361+K361</f>
        <v>2</v>
      </c>
      <c r="F361" s="47">
        <f t="shared" si="46"/>
        <v>106</v>
      </c>
      <c r="G361" s="47"/>
      <c r="H361" s="47"/>
      <c r="I361" s="47">
        <v>2</v>
      </c>
      <c r="J361" s="47">
        <f>50+56</f>
        <v>106</v>
      </c>
      <c r="K361" s="47"/>
      <c r="L361" s="47"/>
      <c r="M361" s="47"/>
    </row>
    <row r="362" spans="1:13" s="14" customFormat="1">
      <c r="A362" s="47"/>
      <c r="B362" s="47" t="s">
        <v>241</v>
      </c>
      <c r="C362" s="45" t="s">
        <v>235</v>
      </c>
      <c r="D362" s="45" t="s">
        <v>236</v>
      </c>
      <c r="E362" s="47">
        <f t="shared" si="46"/>
        <v>2</v>
      </c>
      <c r="F362" s="47">
        <f t="shared" si="46"/>
        <v>133</v>
      </c>
      <c r="G362" s="47"/>
      <c r="H362" s="47"/>
      <c r="I362" s="47">
        <v>2</v>
      </c>
      <c r="J362" s="47">
        <f>65+68</f>
        <v>133</v>
      </c>
      <c r="K362" s="47"/>
      <c r="L362" s="47"/>
      <c r="M362" s="38" t="s">
        <v>274</v>
      </c>
    </row>
    <row r="363" spans="1:13" s="29" customFormat="1" ht="14.25">
      <c r="A363" s="101" t="s">
        <v>265</v>
      </c>
      <c r="B363" s="131" t="s">
        <v>266</v>
      </c>
      <c r="C363" s="131"/>
      <c r="D363" s="133"/>
      <c r="E363" s="101">
        <f t="shared" ref="E363:J363" si="47">E364+E365+E366</f>
        <v>7</v>
      </c>
      <c r="F363" s="101">
        <f t="shared" si="47"/>
        <v>240</v>
      </c>
      <c r="G363" s="101">
        <f t="shared" si="47"/>
        <v>0</v>
      </c>
      <c r="H363" s="101">
        <f t="shared" si="47"/>
        <v>0</v>
      </c>
      <c r="I363" s="101">
        <f t="shared" si="47"/>
        <v>7</v>
      </c>
      <c r="J363" s="101">
        <f t="shared" si="47"/>
        <v>240</v>
      </c>
      <c r="K363" s="101"/>
      <c r="L363" s="101"/>
      <c r="M363" s="101"/>
    </row>
    <row r="364" spans="1:13" s="14" customFormat="1">
      <c r="A364" s="47">
        <v>1</v>
      </c>
      <c r="B364" s="44">
        <v>45755</v>
      </c>
      <c r="C364" s="45" t="s">
        <v>160</v>
      </c>
      <c r="D364" s="45" t="s">
        <v>161</v>
      </c>
      <c r="E364" s="47">
        <f t="shared" ref="E364:F366" si="48">G364+I364+K364</f>
        <v>3</v>
      </c>
      <c r="F364" s="47">
        <f t="shared" si="48"/>
        <v>103</v>
      </c>
      <c r="G364" s="47"/>
      <c r="H364" s="47"/>
      <c r="I364" s="47">
        <v>3</v>
      </c>
      <c r="J364" s="47">
        <f>35+34+34</f>
        <v>103</v>
      </c>
      <c r="K364" s="47"/>
      <c r="L364" s="47"/>
      <c r="M364" s="47"/>
    </row>
    <row r="365" spans="1:13" s="14" customFormat="1">
      <c r="A365" s="47">
        <v>2</v>
      </c>
      <c r="B365" s="44">
        <v>45969</v>
      </c>
      <c r="C365" s="45" t="s">
        <v>160</v>
      </c>
      <c r="D365" s="45" t="s">
        <v>188</v>
      </c>
      <c r="E365" s="47">
        <f t="shared" si="48"/>
        <v>2</v>
      </c>
      <c r="F365" s="47">
        <f t="shared" si="48"/>
        <v>107</v>
      </c>
      <c r="G365" s="47"/>
      <c r="H365" s="47"/>
      <c r="I365" s="47">
        <v>2</v>
      </c>
      <c r="J365" s="47">
        <f>51+56</f>
        <v>107</v>
      </c>
      <c r="K365" s="47"/>
      <c r="L365" s="47"/>
      <c r="M365" s="47"/>
    </row>
    <row r="366" spans="1:13" s="14" customFormat="1">
      <c r="A366" s="47"/>
      <c r="B366" s="47" t="s">
        <v>210</v>
      </c>
      <c r="C366" s="45" t="s">
        <v>160</v>
      </c>
      <c r="D366" s="45" t="s">
        <v>188</v>
      </c>
      <c r="E366" s="47">
        <f t="shared" si="48"/>
        <v>2</v>
      </c>
      <c r="F366" s="47">
        <f t="shared" si="48"/>
        <v>30</v>
      </c>
      <c r="G366" s="47"/>
      <c r="H366" s="47"/>
      <c r="I366" s="47">
        <v>2</v>
      </c>
      <c r="J366" s="47">
        <f>14+16</f>
        <v>30</v>
      </c>
      <c r="K366" s="47"/>
      <c r="L366" s="47"/>
      <c r="M366" s="38" t="s">
        <v>274</v>
      </c>
    </row>
    <row r="367" spans="1:13">
      <c r="E367" s="11"/>
      <c r="F367" s="12"/>
    </row>
    <row r="368" spans="1:13">
      <c r="E368" s="11"/>
      <c r="F368" s="11"/>
    </row>
    <row r="369" spans="5:6">
      <c r="E369" s="11"/>
      <c r="F369" s="11"/>
    </row>
    <row r="370" spans="5:6">
      <c r="E370" s="11"/>
      <c r="F370" s="11"/>
    </row>
    <row r="371" spans="5:6">
      <c r="E371" s="11"/>
      <c r="F371" s="11"/>
    </row>
    <row r="372" spans="5:6">
      <c r="E372" s="11"/>
      <c r="F372" s="11"/>
    </row>
    <row r="373" spans="5:6">
      <c r="E373" s="11"/>
      <c r="F373" s="11"/>
    </row>
    <row r="374" spans="5:6">
      <c r="E374" s="11"/>
      <c r="F374" s="11"/>
    </row>
    <row r="375" spans="5:6">
      <c r="E375" s="11"/>
      <c r="F375" s="11"/>
    </row>
    <row r="376" spans="5:6">
      <c r="E376" s="11"/>
      <c r="F376" s="11"/>
    </row>
    <row r="377" spans="5:6">
      <c r="E377" s="11"/>
      <c r="F377" s="11"/>
    </row>
  </sheetData>
  <mergeCells count="27">
    <mergeCell ref="M3:M7"/>
    <mergeCell ref="K6:K7"/>
    <mergeCell ref="L6:L7"/>
    <mergeCell ref="I6:I7"/>
    <mergeCell ref="J6:J7"/>
    <mergeCell ref="H6:H7"/>
    <mergeCell ref="B3:B7"/>
    <mergeCell ref="C3:C7"/>
    <mergeCell ref="D3:D7"/>
    <mergeCell ref="E3:F5"/>
    <mergeCell ref="G3:L5"/>
    <mergeCell ref="A1:M2"/>
    <mergeCell ref="B215:C215"/>
    <mergeCell ref="B283:C283"/>
    <mergeCell ref="B8:D8"/>
    <mergeCell ref="B363:C363"/>
    <mergeCell ref="B331:C331"/>
    <mergeCell ref="B349:C349"/>
    <mergeCell ref="B352:C352"/>
    <mergeCell ref="B357:C357"/>
    <mergeCell ref="B360:C360"/>
    <mergeCell ref="E6:E7"/>
    <mergeCell ref="F6:F7"/>
    <mergeCell ref="A3:A7"/>
    <mergeCell ref="B9:C9"/>
    <mergeCell ref="B126:D126"/>
    <mergeCell ref="G6:G7"/>
  </mergeCells>
  <pageMargins left="0.42" right="0.16" top="0.23" bottom="0.2" header="0.22" footer="0.2"/>
  <pageSetup paperSize="9" scale="90" orientation="landscape" r:id="rId1"/>
  <rowBreaks count="3" manualBreakCount="3">
    <brk id="292" max="12" man="1"/>
    <brk id="328" max="12" man="1"/>
    <brk id="366" max="15" man="1"/>
  </rowBreaks>
  <colBreaks count="1" manualBreakCount="1">
    <brk id="13"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3"/>
  <sheetViews>
    <sheetView tabSelected="1" view="pageBreakPreview" zoomScale="60" zoomScaleNormal="100" workbookViewId="0">
      <pane xSplit="2" ySplit="8" topLeftCell="C188" activePane="bottomRight" state="frozen"/>
      <selection pane="topRight" activeCell="C1" sqref="C1"/>
      <selection pane="bottomLeft" activeCell="A10" sqref="A10"/>
      <selection pane="bottomRight" activeCell="F235" sqref="F235"/>
    </sheetView>
  </sheetViews>
  <sheetFormatPr defaultColWidth="9.125" defaultRowHeight="15.75"/>
  <cols>
    <col min="1" max="1" width="6" style="75" customWidth="1"/>
    <col min="2" max="2" width="35.25" style="49" customWidth="1"/>
    <col min="3" max="3" width="6.125" style="49" customWidth="1"/>
    <col min="4" max="4" width="5" style="49" customWidth="1"/>
    <col min="5" max="5" width="5.125" style="49" customWidth="1"/>
    <col min="6" max="6" width="5.875" style="49" customWidth="1"/>
    <col min="7" max="7" width="9.125" style="49"/>
    <col min="8" max="8" width="12.75" style="66" customWidth="1"/>
    <col min="9" max="9" width="5.625" style="49" customWidth="1"/>
    <col min="10" max="10" width="5.375" style="49" customWidth="1"/>
    <col min="11" max="11" width="5.25" style="49" customWidth="1"/>
    <col min="12" max="12" width="5.75" style="49" customWidth="1"/>
    <col min="13" max="13" width="5.375" style="49" customWidth="1"/>
    <col min="14" max="14" width="5.25" style="49" customWidth="1"/>
    <col min="15" max="15" width="6.125" style="49" customWidth="1"/>
    <col min="16" max="16" width="9.125" style="49" customWidth="1"/>
    <col min="17" max="17" width="16.75" style="49" customWidth="1"/>
    <col min="18" max="18" width="6.125" style="49" hidden="1" customWidth="1"/>
    <col min="19" max="19" width="5.875" style="49" hidden="1" customWidth="1"/>
    <col min="20" max="20" width="20.125" style="49" customWidth="1"/>
    <col min="21" max="21" width="16.625" style="49" customWidth="1"/>
    <col min="22" max="16384" width="9.125" style="49"/>
  </cols>
  <sheetData>
    <row r="1" spans="1:21" ht="36" customHeight="1">
      <c r="A1" s="116" t="s">
        <v>363</v>
      </c>
      <c r="B1" s="116"/>
      <c r="C1" s="116"/>
      <c r="D1" s="116"/>
      <c r="E1" s="116"/>
      <c r="F1" s="116"/>
      <c r="G1" s="116"/>
      <c r="H1" s="116"/>
      <c r="I1" s="116"/>
      <c r="J1" s="116"/>
      <c r="K1" s="116"/>
      <c r="L1" s="116"/>
      <c r="M1" s="116"/>
      <c r="N1" s="116"/>
      <c r="O1" s="116"/>
      <c r="P1" s="116"/>
      <c r="Q1" s="116"/>
      <c r="R1" s="116"/>
      <c r="S1" s="116"/>
      <c r="T1" s="116"/>
    </row>
    <row r="2" spans="1:21">
      <c r="A2" s="117" t="s">
        <v>319</v>
      </c>
      <c r="B2" s="117"/>
      <c r="C2" s="117"/>
      <c r="D2" s="117"/>
      <c r="E2" s="117"/>
      <c r="F2" s="117"/>
      <c r="G2" s="117"/>
      <c r="H2" s="117"/>
      <c r="I2" s="117"/>
      <c r="J2" s="117"/>
      <c r="K2" s="117"/>
      <c r="L2" s="117"/>
      <c r="M2" s="117"/>
      <c r="N2" s="117"/>
      <c r="O2" s="117"/>
      <c r="P2" s="117"/>
      <c r="Q2" s="117"/>
      <c r="R2" s="117"/>
      <c r="S2" s="117"/>
      <c r="T2" s="117"/>
    </row>
    <row r="3" spans="1:21">
      <c r="A3" s="118" t="s">
        <v>361</v>
      </c>
      <c r="B3" s="118"/>
      <c r="C3" s="118"/>
      <c r="D3" s="118"/>
      <c r="E3" s="118"/>
      <c r="F3" s="118"/>
      <c r="G3" s="118"/>
      <c r="H3" s="118"/>
      <c r="I3" s="118"/>
      <c r="J3" s="118"/>
      <c r="K3" s="118"/>
      <c r="L3" s="118"/>
      <c r="M3" s="118"/>
      <c r="N3" s="118"/>
      <c r="O3" s="118"/>
      <c r="P3" s="118"/>
      <c r="Q3" s="118"/>
      <c r="R3" s="118"/>
      <c r="S3" s="118"/>
      <c r="T3" s="118"/>
    </row>
    <row r="4" spans="1:21" ht="39" customHeight="1">
      <c r="A4" s="112" t="s">
        <v>282</v>
      </c>
      <c r="B4" s="113" t="s">
        <v>297</v>
      </c>
      <c r="C4" s="112" t="s">
        <v>283</v>
      </c>
      <c r="D4" s="112"/>
      <c r="E4" s="112"/>
      <c r="F4" s="112"/>
      <c r="G4" s="112"/>
      <c r="H4" s="112"/>
      <c r="I4" s="112"/>
      <c r="J4" s="112"/>
      <c r="K4" s="112"/>
      <c r="L4" s="112"/>
      <c r="M4" s="112"/>
      <c r="N4" s="112"/>
      <c r="O4" s="112"/>
      <c r="P4" s="112"/>
      <c r="Q4" s="113" t="s">
        <v>359</v>
      </c>
      <c r="R4" s="112"/>
      <c r="S4" s="112"/>
      <c r="T4" s="113" t="s">
        <v>296</v>
      </c>
    </row>
    <row r="5" spans="1:21" ht="78.75">
      <c r="A5" s="112"/>
      <c r="B5" s="113"/>
      <c r="C5" s="113" t="s">
        <v>284</v>
      </c>
      <c r="D5" s="113"/>
      <c r="E5" s="113" t="s">
        <v>287</v>
      </c>
      <c r="F5" s="113"/>
      <c r="G5" s="112" t="s">
        <v>288</v>
      </c>
      <c r="H5" s="112"/>
      <c r="I5" s="113" t="s">
        <v>289</v>
      </c>
      <c r="J5" s="113"/>
      <c r="K5" s="112" t="s">
        <v>291</v>
      </c>
      <c r="L5" s="112"/>
      <c r="M5" s="112" t="s">
        <v>292</v>
      </c>
      <c r="N5" s="112"/>
      <c r="O5" s="71" t="s">
        <v>312</v>
      </c>
      <c r="P5" s="71" t="s">
        <v>293</v>
      </c>
      <c r="Q5" s="113" t="s">
        <v>358</v>
      </c>
      <c r="R5" s="113" t="s">
        <v>294</v>
      </c>
      <c r="S5" s="113" t="s">
        <v>295</v>
      </c>
      <c r="T5" s="113"/>
    </row>
    <row r="6" spans="1:21">
      <c r="A6" s="112"/>
      <c r="B6" s="113"/>
      <c r="C6" s="70" t="s">
        <v>285</v>
      </c>
      <c r="D6" s="70" t="s">
        <v>286</v>
      </c>
      <c r="E6" s="70" t="s">
        <v>285</v>
      </c>
      <c r="F6" s="70" t="s">
        <v>286</v>
      </c>
      <c r="G6" s="70" t="s">
        <v>285</v>
      </c>
      <c r="H6" s="72" t="s">
        <v>286</v>
      </c>
      <c r="I6" s="70" t="s">
        <v>285</v>
      </c>
      <c r="J6" s="70" t="s">
        <v>286</v>
      </c>
      <c r="K6" s="70" t="s">
        <v>285</v>
      </c>
      <c r="L6" s="70" t="s">
        <v>286</v>
      </c>
      <c r="M6" s="70" t="s">
        <v>285</v>
      </c>
      <c r="N6" s="70" t="s">
        <v>286</v>
      </c>
      <c r="O6" s="70"/>
      <c r="P6" s="70" t="s">
        <v>286</v>
      </c>
      <c r="Q6" s="113"/>
      <c r="R6" s="113"/>
      <c r="S6" s="113"/>
      <c r="T6" s="113"/>
    </row>
    <row r="7" spans="1:21">
      <c r="A7" s="74" t="s">
        <v>298</v>
      </c>
      <c r="B7" s="99" t="s">
        <v>299</v>
      </c>
      <c r="C7" s="99" t="s">
        <v>300</v>
      </c>
      <c r="D7" s="99" t="s">
        <v>301</v>
      </c>
      <c r="E7" s="99" t="s">
        <v>302</v>
      </c>
      <c r="F7" s="99" t="s">
        <v>303</v>
      </c>
      <c r="G7" s="99" t="s">
        <v>304</v>
      </c>
      <c r="H7" s="100" t="s">
        <v>305</v>
      </c>
      <c r="I7" s="99" t="s">
        <v>306</v>
      </c>
      <c r="J7" s="99" t="s">
        <v>307</v>
      </c>
      <c r="K7" s="99" t="s">
        <v>308</v>
      </c>
      <c r="L7" s="99" t="s">
        <v>309</v>
      </c>
      <c r="M7" s="99" t="s">
        <v>310</v>
      </c>
      <c r="N7" s="99" t="s">
        <v>311</v>
      </c>
      <c r="O7" s="99" t="s">
        <v>313</v>
      </c>
      <c r="P7" s="99" t="s">
        <v>314</v>
      </c>
      <c r="Q7" s="99" t="s">
        <v>315</v>
      </c>
      <c r="R7" s="99" t="s">
        <v>316</v>
      </c>
      <c r="S7" s="99" t="s">
        <v>317</v>
      </c>
      <c r="T7" s="99" t="s">
        <v>318</v>
      </c>
    </row>
    <row r="8" spans="1:21" s="50" customFormat="1">
      <c r="A8" s="73"/>
      <c r="B8" s="56" t="s">
        <v>320</v>
      </c>
      <c r="C8" s="56"/>
      <c r="D8" s="56"/>
      <c r="E8" s="56"/>
      <c r="F8" s="56"/>
      <c r="G8" s="57">
        <f>G9+G85+G144+G178+G208+G220+G222+G225+G227+G229</f>
        <v>2075</v>
      </c>
      <c r="H8" s="57">
        <f>H9+H85+H144+H178+H208+H220+H222+H225+H227+H229</f>
        <v>104797</v>
      </c>
      <c r="I8" s="57"/>
      <c r="J8" s="57"/>
      <c r="K8" s="57"/>
      <c r="L8" s="57"/>
      <c r="M8" s="57"/>
      <c r="N8" s="57"/>
      <c r="O8" s="57"/>
      <c r="P8" s="57"/>
      <c r="Q8" s="58">
        <f>Q9+Q85+Q144+Q178+Q208+Q220+Q222+Q225+Q227+Q229</f>
        <v>4191.88</v>
      </c>
      <c r="R8" s="56"/>
      <c r="S8" s="56"/>
      <c r="T8" s="56"/>
    </row>
    <row r="9" spans="1:21" s="54" customFormat="1">
      <c r="A9" s="70" t="s">
        <v>249</v>
      </c>
      <c r="B9" s="53" t="s">
        <v>250</v>
      </c>
      <c r="C9" s="53"/>
      <c r="D9" s="53"/>
      <c r="E9" s="53"/>
      <c r="F9" s="53"/>
      <c r="G9" s="53">
        <f>SUM(G10:G84)</f>
        <v>530</v>
      </c>
      <c r="H9" s="67">
        <f>SUM(H10:H84)</f>
        <v>24826</v>
      </c>
      <c r="I9" s="53"/>
      <c r="J9" s="53"/>
      <c r="K9" s="53"/>
      <c r="L9" s="53"/>
      <c r="M9" s="53"/>
      <c r="N9" s="53"/>
      <c r="O9" s="53"/>
      <c r="P9" s="53"/>
      <c r="Q9" s="53">
        <f t="shared" ref="Q9" si="0">SUM(Q10:Q84)</f>
        <v>993.03999999999985</v>
      </c>
      <c r="R9" s="53"/>
      <c r="S9" s="53"/>
      <c r="T9" s="53"/>
    </row>
    <row r="10" spans="1:21">
      <c r="A10" s="69">
        <v>1</v>
      </c>
      <c r="B10" s="59" t="s">
        <v>25</v>
      </c>
      <c r="C10" s="51"/>
      <c r="D10" s="51"/>
      <c r="E10" s="51"/>
      <c r="F10" s="51"/>
      <c r="G10" s="51">
        <v>4</v>
      </c>
      <c r="H10" s="68">
        <v>282</v>
      </c>
      <c r="I10" s="51"/>
      <c r="J10" s="51"/>
      <c r="K10" s="51"/>
      <c r="L10" s="51"/>
      <c r="M10" s="51"/>
      <c r="N10" s="51"/>
      <c r="O10" s="51"/>
      <c r="P10" s="51"/>
      <c r="Q10" s="52">
        <f>H10*0.04</f>
        <v>11.28</v>
      </c>
      <c r="R10" s="51"/>
      <c r="S10" s="51"/>
      <c r="T10" s="1"/>
      <c r="U10" s="55"/>
    </row>
    <row r="11" spans="1:21">
      <c r="A11" s="69">
        <v>2</v>
      </c>
      <c r="B11" s="59" t="s">
        <v>26</v>
      </c>
      <c r="C11" s="51"/>
      <c r="D11" s="51"/>
      <c r="E11" s="51"/>
      <c r="F11" s="51"/>
      <c r="G11" s="51">
        <v>8</v>
      </c>
      <c r="H11" s="68">
        <v>295</v>
      </c>
      <c r="I11" s="51"/>
      <c r="J11" s="51"/>
      <c r="K11" s="51"/>
      <c r="L11" s="51"/>
      <c r="M11" s="51"/>
      <c r="N11" s="51"/>
      <c r="O11" s="51"/>
      <c r="P11" s="51"/>
      <c r="Q11" s="52">
        <f t="shared" ref="Q11:Q74" si="1">H11*0.04</f>
        <v>11.8</v>
      </c>
      <c r="R11" s="51"/>
      <c r="S11" s="51"/>
      <c r="T11" s="1" t="s">
        <v>267</v>
      </c>
    </row>
    <row r="12" spans="1:21">
      <c r="A12" s="69">
        <v>3</v>
      </c>
      <c r="B12" s="59" t="s">
        <v>27</v>
      </c>
      <c r="C12" s="51"/>
      <c r="D12" s="51"/>
      <c r="E12" s="51"/>
      <c r="F12" s="51"/>
      <c r="G12" s="51">
        <v>7</v>
      </c>
      <c r="H12" s="68">
        <v>190</v>
      </c>
      <c r="I12" s="51"/>
      <c r="J12" s="51"/>
      <c r="K12" s="51"/>
      <c r="L12" s="51"/>
      <c r="M12" s="51"/>
      <c r="N12" s="51"/>
      <c r="O12" s="51"/>
      <c r="P12" s="51"/>
      <c r="Q12" s="52">
        <f t="shared" si="1"/>
        <v>7.6000000000000005</v>
      </c>
      <c r="R12" s="51"/>
      <c r="S12" s="51"/>
      <c r="T12" s="1" t="s">
        <v>267</v>
      </c>
    </row>
    <row r="13" spans="1:21">
      <c r="A13" s="69">
        <v>4</v>
      </c>
      <c r="B13" s="59" t="s">
        <v>28</v>
      </c>
      <c r="C13" s="51"/>
      <c r="D13" s="51"/>
      <c r="E13" s="51"/>
      <c r="F13" s="51"/>
      <c r="G13" s="51">
        <v>5</v>
      </c>
      <c r="H13" s="68">
        <v>208</v>
      </c>
      <c r="I13" s="51"/>
      <c r="J13" s="51"/>
      <c r="K13" s="51"/>
      <c r="L13" s="51"/>
      <c r="M13" s="51"/>
      <c r="N13" s="51"/>
      <c r="O13" s="51"/>
      <c r="P13" s="51"/>
      <c r="Q13" s="52">
        <f t="shared" si="1"/>
        <v>8.32</v>
      </c>
      <c r="R13" s="51"/>
      <c r="S13" s="51"/>
      <c r="T13" s="1"/>
    </row>
    <row r="14" spans="1:21">
      <c r="A14" s="69">
        <v>5</v>
      </c>
      <c r="B14" s="59" t="s">
        <v>29</v>
      </c>
      <c r="C14" s="51"/>
      <c r="D14" s="51"/>
      <c r="E14" s="51"/>
      <c r="F14" s="51"/>
      <c r="G14" s="51">
        <v>53</v>
      </c>
      <c r="H14" s="68">
        <v>1271</v>
      </c>
      <c r="I14" s="51"/>
      <c r="J14" s="51"/>
      <c r="K14" s="51"/>
      <c r="L14" s="51"/>
      <c r="M14" s="51"/>
      <c r="N14" s="51"/>
      <c r="O14" s="51"/>
      <c r="P14" s="51"/>
      <c r="Q14" s="52">
        <f t="shared" si="1"/>
        <v>50.84</v>
      </c>
      <c r="R14" s="51"/>
      <c r="S14" s="51"/>
      <c r="T14" s="1" t="s">
        <v>268</v>
      </c>
    </row>
    <row r="15" spans="1:21">
      <c r="A15" s="69">
        <v>6</v>
      </c>
      <c r="B15" s="59" t="s">
        <v>30</v>
      </c>
      <c r="C15" s="51"/>
      <c r="D15" s="51"/>
      <c r="E15" s="51"/>
      <c r="F15" s="51"/>
      <c r="G15" s="51">
        <v>2</v>
      </c>
      <c r="H15" s="68">
        <v>84</v>
      </c>
      <c r="I15" s="51"/>
      <c r="J15" s="51"/>
      <c r="K15" s="51"/>
      <c r="L15" s="51"/>
      <c r="M15" s="51"/>
      <c r="N15" s="51"/>
      <c r="O15" s="51"/>
      <c r="P15" s="51"/>
      <c r="Q15" s="52">
        <f t="shared" si="1"/>
        <v>3.36</v>
      </c>
      <c r="R15" s="51"/>
      <c r="S15" s="51"/>
      <c r="T15" s="1" t="s">
        <v>267</v>
      </c>
    </row>
    <row r="16" spans="1:21">
      <c r="A16" s="69">
        <v>7</v>
      </c>
      <c r="B16" s="59" t="s">
        <v>31</v>
      </c>
      <c r="C16" s="51"/>
      <c r="D16" s="51"/>
      <c r="E16" s="51"/>
      <c r="F16" s="51"/>
      <c r="G16" s="51">
        <v>58</v>
      </c>
      <c r="H16" s="68">
        <v>2549</v>
      </c>
      <c r="I16" s="51"/>
      <c r="J16" s="51"/>
      <c r="K16" s="51"/>
      <c r="L16" s="51"/>
      <c r="M16" s="51"/>
      <c r="N16" s="51"/>
      <c r="O16" s="51"/>
      <c r="P16" s="51"/>
      <c r="Q16" s="52">
        <f t="shared" si="1"/>
        <v>101.96000000000001</v>
      </c>
      <c r="R16" s="51"/>
      <c r="S16" s="51"/>
      <c r="T16" s="1" t="s">
        <v>268</v>
      </c>
    </row>
    <row r="17" spans="1:20">
      <c r="A17" s="69">
        <v>8</v>
      </c>
      <c r="B17" s="60" t="s">
        <v>33</v>
      </c>
      <c r="C17" s="51"/>
      <c r="D17" s="51"/>
      <c r="E17" s="51"/>
      <c r="F17" s="51"/>
      <c r="G17" s="51">
        <v>8</v>
      </c>
      <c r="H17" s="68">
        <v>366</v>
      </c>
      <c r="I17" s="51"/>
      <c r="J17" s="51"/>
      <c r="K17" s="51"/>
      <c r="L17" s="51"/>
      <c r="M17" s="51"/>
      <c r="N17" s="51"/>
      <c r="O17" s="51"/>
      <c r="P17" s="51"/>
      <c r="Q17" s="52">
        <f t="shared" si="1"/>
        <v>14.64</v>
      </c>
      <c r="R17" s="51"/>
      <c r="S17" s="51"/>
      <c r="T17" s="1" t="s">
        <v>268</v>
      </c>
    </row>
    <row r="18" spans="1:20">
      <c r="A18" s="69">
        <v>9</v>
      </c>
      <c r="B18" s="60" t="s">
        <v>34</v>
      </c>
      <c r="C18" s="51"/>
      <c r="D18" s="51"/>
      <c r="E18" s="51"/>
      <c r="F18" s="51"/>
      <c r="G18" s="51">
        <v>13</v>
      </c>
      <c r="H18" s="68">
        <v>130</v>
      </c>
      <c r="I18" s="51"/>
      <c r="J18" s="51"/>
      <c r="K18" s="51"/>
      <c r="L18" s="51"/>
      <c r="M18" s="51"/>
      <c r="N18" s="51"/>
      <c r="O18" s="51"/>
      <c r="P18" s="51"/>
      <c r="Q18" s="52">
        <f t="shared" si="1"/>
        <v>5.2</v>
      </c>
      <c r="R18" s="51"/>
      <c r="S18" s="51"/>
      <c r="T18" s="1"/>
    </row>
    <row r="19" spans="1:20">
      <c r="A19" s="69">
        <v>10</v>
      </c>
      <c r="B19" s="51" t="s">
        <v>324</v>
      </c>
      <c r="C19" s="51"/>
      <c r="D19" s="51"/>
      <c r="E19" s="51"/>
      <c r="F19" s="51"/>
      <c r="G19" s="51">
        <v>2</v>
      </c>
      <c r="H19" s="68">
        <v>40</v>
      </c>
      <c r="I19" s="51"/>
      <c r="J19" s="51"/>
      <c r="K19" s="51"/>
      <c r="L19" s="51"/>
      <c r="M19" s="51"/>
      <c r="N19" s="51"/>
      <c r="O19" s="51"/>
      <c r="P19" s="51"/>
      <c r="Q19" s="52">
        <f t="shared" si="1"/>
        <v>1.6</v>
      </c>
      <c r="R19" s="51"/>
      <c r="S19" s="51"/>
      <c r="T19" s="4"/>
    </row>
    <row r="20" spans="1:20">
      <c r="A20" s="69">
        <v>11</v>
      </c>
      <c r="B20" s="51" t="s">
        <v>35</v>
      </c>
      <c r="C20" s="51"/>
      <c r="D20" s="51"/>
      <c r="E20" s="51"/>
      <c r="F20" s="51"/>
      <c r="G20" s="51">
        <v>32</v>
      </c>
      <c r="H20" s="68">
        <v>1551</v>
      </c>
      <c r="I20" s="51"/>
      <c r="J20" s="51"/>
      <c r="K20" s="51"/>
      <c r="L20" s="51"/>
      <c r="M20" s="51"/>
      <c r="N20" s="51"/>
      <c r="O20" s="51"/>
      <c r="P20" s="51"/>
      <c r="Q20" s="52">
        <f t="shared" si="1"/>
        <v>62.04</v>
      </c>
      <c r="R20" s="51"/>
      <c r="S20" s="51"/>
      <c r="T20" s="1" t="s">
        <v>267</v>
      </c>
    </row>
    <row r="21" spans="1:20">
      <c r="A21" s="69">
        <v>12</v>
      </c>
      <c r="B21" s="51" t="s">
        <v>36</v>
      </c>
      <c r="C21" s="51"/>
      <c r="D21" s="51"/>
      <c r="E21" s="51"/>
      <c r="F21" s="51"/>
      <c r="G21" s="51">
        <v>2</v>
      </c>
      <c r="H21" s="68">
        <v>177</v>
      </c>
      <c r="I21" s="51"/>
      <c r="J21" s="51"/>
      <c r="K21" s="51"/>
      <c r="L21" s="51"/>
      <c r="M21" s="51"/>
      <c r="N21" s="51"/>
      <c r="O21" s="51"/>
      <c r="P21" s="51"/>
      <c r="Q21" s="52">
        <f t="shared" si="1"/>
        <v>7.08</v>
      </c>
      <c r="R21" s="51"/>
      <c r="S21" s="51"/>
      <c r="T21" s="1" t="s">
        <v>267</v>
      </c>
    </row>
    <row r="22" spans="1:20">
      <c r="A22" s="69">
        <v>13</v>
      </c>
      <c r="B22" s="51" t="s">
        <v>37</v>
      </c>
      <c r="C22" s="51"/>
      <c r="D22" s="51"/>
      <c r="E22" s="51"/>
      <c r="F22" s="51"/>
      <c r="G22" s="51">
        <v>14</v>
      </c>
      <c r="H22" s="68">
        <v>1037</v>
      </c>
      <c r="I22" s="51"/>
      <c r="J22" s="51"/>
      <c r="K22" s="51"/>
      <c r="L22" s="51"/>
      <c r="M22" s="51"/>
      <c r="N22" s="51"/>
      <c r="O22" s="51"/>
      <c r="P22" s="51"/>
      <c r="Q22" s="52">
        <f t="shared" si="1"/>
        <v>41.480000000000004</v>
      </c>
      <c r="R22" s="51"/>
      <c r="S22" s="51"/>
      <c r="T22" s="1" t="s">
        <v>267</v>
      </c>
    </row>
    <row r="23" spans="1:20">
      <c r="A23" s="69">
        <v>14</v>
      </c>
      <c r="B23" s="51" t="s">
        <v>38</v>
      </c>
      <c r="C23" s="51"/>
      <c r="D23" s="51"/>
      <c r="E23" s="51"/>
      <c r="F23" s="51"/>
      <c r="G23" s="51">
        <v>1</v>
      </c>
      <c r="H23" s="68">
        <v>98</v>
      </c>
      <c r="I23" s="51"/>
      <c r="J23" s="51"/>
      <c r="K23" s="51"/>
      <c r="L23" s="51"/>
      <c r="M23" s="51"/>
      <c r="N23" s="51"/>
      <c r="O23" s="51"/>
      <c r="P23" s="51"/>
      <c r="Q23" s="52">
        <f t="shared" si="1"/>
        <v>3.92</v>
      </c>
      <c r="R23" s="51"/>
      <c r="S23" s="51"/>
      <c r="T23" s="4"/>
    </row>
    <row r="24" spans="1:20">
      <c r="A24" s="69">
        <v>15</v>
      </c>
      <c r="B24" s="51" t="s">
        <v>39</v>
      </c>
      <c r="C24" s="51"/>
      <c r="D24" s="51"/>
      <c r="E24" s="51"/>
      <c r="F24" s="51"/>
      <c r="G24" s="51">
        <v>3</v>
      </c>
      <c r="H24" s="68">
        <v>272</v>
      </c>
      <c r="I24" s="51"/>
      <c r="J24" s="51"/>
      <c r="K24" s="51"/>
      <c r="L24" s="51"/>
      <c r="M24" s="51"/>
      <c r="N24" s="51"/>
      <c r="O24" s="51"/>
      <c r="P24" s="51"/>
      <c r="Q24" s="52">
        <f t="shared" si="1"/>
        <v>10.88</v>
      </c>
      <c r="R24" s="51"/>
      <c r="S24" s="51"/>
      <c r="T24" s="4"/>
    </row>
    <row r="25" spans="1:20">
      <c r="A25" s="69">
        <v>16</v>
      </c>
      <c r="B25" s="51" t="s">
        <v>245</v>
      </c>
      <c r="C25" s="51"/>
      <c r="D25" s="51"/>
      <c r="E25" s="51"/>
      <c r="F25" s="51"/>
      <c r="G25" s="51">
        <v>1</v>
      </c>
      <c r="H25" s="68">
        <v>127</v>
      </c>
      <c r="I25" s="51"/>
      <c r="J25" s="51"/>
      <c r="K25" s="51"/>
      <c r="L25" s="51"/>
      <c r="M25" s="51"/>
      <c r="N25" s="51"/>
      <c r="O25" s="51"/>
      <c r="P25" s="51"/>
      <c r="Q25" s="52">
        <f t="shared" si="1"/>
        <v>5.08</v>
      </c>
      <c r="R25" s="51"/>
      <c r="S25" s="51"/>
      <c r="T25" s="4"/>
    </row>
    <row r="26" spans="1:20">
      <c r="A26" s="69">
        <v>17</v>
      </c>
      <c r="B26" s="51" t="s">
        <v>325</v>
      </c>
      <c r="C26" s="51"/>
      <c r="D26" s="51"/>
      <c r="E26" s="51"/>
      <c r="F26" s="51"/>
      <c r="G26" s="51">
        <v>1</v>
      </c>
      <c r="H26" s="68">
        <v>269</v>
      </c>
      <c r="I26" s="51"/>
      <c r="J26" s="51"/>
      <c r="K26" s="51"/>
      <c r="L26" s="51"/>
      <c r="M26" s="51"/>
      <c r="N26" s="51"/>
      <c r="O26" s="51"/>
      <c r="P26" s="51"/>
      <c r="Q26" s="52">
        <f t="shared" si="1"/>
        <v>10.76</v>
      </c>
      <c r="R26" s="51"/>
      <c r="S26" s="51"/>
      <c r="T26" s="4"/>
    </row>
    <row r="27" spans="1:20">
      <c r="A27" s="69">
        <v>18</v>
      </c>
      <c r="B27" s="51" t="s">
        <v>40</v>
      </c>
      <c r="C27" s="51"/>
      <c r="D27" s="51"/>
      <c r="E27" s="51"/>
      <c r="F27" s="51"/>
      <c r="G27" s="51">
        <v>14</v>
      </c>
      <c r="H27" s="68">
        <v>183</v>
      </c>
      <c r="I27" s="51"/>
      <c r="J27" s="51"/>
      <c r="K27" s="51"/>
      <c r="L27" s="51"/>
      <c r="M27" s="51"/>
      <c r="N27" s="51"/>
      <c r="O27" s="51"/>
      <c r="P27" s="51"/>
      <c r="Q27" s="52">
        <f t="shared" si="1"/>
        <v>7.32</v>
      </c>
      <c r="R27" s="51"/>
      <c r="S27" s="51"/>
      <c r="T27" s="1" t="s">
        <v>267</v>
      </c>
    </row>
    <row r="28" spans="1:20">
      <c r="A28" s="69">
        <v>19</v>
      </c>
      <c r="B28" s="51" t="s">
        <v>41</v>
      </c>
      <c r="C28" s="51"/>
      <c r="D28" s="51"/>
      <c r="E28" s="51"/>
      <c r="F28" s="51"/>
      <c r="G28" s="51">
        <v>5</v>
      </c>
      <c r="H28" s="68">
        <v>134</v>
      </c>
      <c r="I28" s="51"/>
      <c r="J28" s="51"/>
      <c r="K28" s="51"/>
      <c r="L28" s="51"/>
      <c r="M28" s="51"/>
      <c r="N28" s="51"/>
      <c r="O28" s="51"/>
      <c r="P28" s="51"/>
      <c r="Q28" s="52">
        <f t="shared" si="1"/>
        <v>5.36</v>
      </c>
      <c r="R28" s="51"/>
      <c r="S28" s="51"/>
      <c r="T28" s="4"/>
    </row>
    <row r="29" spans="1:20">
      <c r="A29" s="69">
        <v>20</v>
      </c>
      <c r="B29" s="51" t="s">
        <v>43</v>
      </c>
      <c r="C29" s="51"/>
      <c r="D29" s="51"/>
      <c r="E29" s="51"/>
      <c r="F29" s="51"/>
      <c r="G29" s="51">
        <v>1</v>
      </c>
      <c r="H29" s="68">
        <v>130</v>
      </c>
      <c r="I29" s="51"/>
      <c r="J29" s="51"/>
      <c r="K29" s="51"/>
      <c r="L29" s="51"/>
      <c r="M29" s="51"/>
      <c r="N29" s="51"/>
      <c r="O29" s="51"/>
      <c r="P29" s="51"/>
      <c r="Q29" s="52">
        <f t="shared" si="1"/>
        <v>5.2</v>
      </c>
      <c r="R29" s="51"/>
      <c r="S29" s="51"/>
      <c r="T29" s="4"/>
    </row>
    <row r="30" spans="1:20">
      <c r="A30" s="69">
        <v>21</v>
      </c>
      <c r="B30" s="51" t="s">
        <v>44</v>
      </c>
      <c r="C30" s="51"/>
      <c r="D30" s="51"/>
      <c r="E30" s="51"/>
      <c r="F30" s="51"/>
      <c r="G30" s="51">
        <v>8</v>
      </c>
      <c r="H30" s="68">
        <v>214</v>
      </c>
      <c r="I30" s="51"/>
      <c r="J30" s="51"/>
      <c r="K30" s="51"/>
      <c r="L30" s="51"/>
      <c r="M30" s="51"/>
      <c r="N30" s="51"/>
      <c r="O30" s="51"/>
      <c r="P30" s="51"/>
      <c r="Q30" s="52">
        <f t="shared" si="1"/>
        <v>8.56</v>
      </c>
      <c r="R30" s="51"/>
      <c r="S30" s="51"/>
      <c r="T30" s="1" t="s">
        <v>268</v>
      </c>
    </row>
    <row r="31" spans="1:20">
      <c r="A31" s="69">
        <v>22</v>
      </c>
      <c r="B31" s="59" t="s">
        <v>49</v>
      </c>
      <c r="C31" s="51"/>
      <c r="D31" s="51"/>
      <c r="E31" s="51"/>
      <c r="F31" s="51"/>
      <c r="G31" s="51">
        <v>30</v>
      </c>
      <c r="H31" s="68">
        <v>628</v>
      </c>
      <c r="I31" s="51"/>
      <c r="J31" s="51"/>
      <c r="K31" s="51"/>
      <c r="L31" s="51"/>
      <c r="M31" s="51"/>
      <c r="N31" s="51"/>
      <c r="O31" s="51"/>
      <c r="P31" s="51"/>
      <c r="Q31" s="52">
        <f t="shared" si="1"/>
        <v>25.12</v>
      </c>
      <c r="R31" s="51"/>
      <c r="S31" s="51"/>
      <c r="T31" s="4" t="s">
        <v>267</v>
      </c>
    </row>
    <row r="32" spans="1:20">
      <c r="A32" s="69">
        <v>23</v>
      </c>
      <c r="B32" s="51" t="s">
        <v>322</v>
      </c>
      <c r="C32" s="51"/>
      <c r="D32" s="51"/>
      <c r="E32" s="51"/>
      <c r="F32" s="51"/>
      <c r="G32" s="51">
        <v>11</v>
      </c>
      <c r="H32" s="68">
        <v>248</v>
      </c>
      <c r="I32" s="51"/>
      <c r="J32" s="51"/>
      <c r="K32" s="51"/>
      <c r="L32" s="51"/>
      <c r="M32" s="51"/>
      <c r="N32" s="51"/>
      <c r="O32" s="51"/>
      <c r="P32" s="51"/>
      <c r="Q32" s="52">
        <f t="shared" si="1"/>
        <v>9.92</v>
      </c>
      <c r="R32" s="51"/>
      <c r="S32" s="51"/>
      <c r="T32" s="4"/>
    </row>
    <row r="33" spans="1:20">
      <c r="A33" s="69">
        <v>24</v>
      </c>
      <c r="B33" s="51" t="s">
        <v>51</v>
      </c>
      <c r="C33" s="51"/>
      <c r="D33" s="51"/>
      <c r="E33" s="51"/>
      <c r="F33" s="51"/>
      <c r="G33" s="51">
        <v>2</v>
      </c>
      <c r="H33" s="68">
        <v>106</v>
      </c>
      <c r="I33" s="51"/>
      <c r="J33" s="51"/>
      <c r="K33" s="51"/>
      <c r="L33" s="51"/>
      <c r="M33" s="51"/>
      <c r="N33" s="51"/>
      <c r="O33" s="51"/>
      <c r="P33" s="51"/>
      <c r="Q33" s="52">
        <f t="shared" si="1"/>
        <v>4.24</v>
      </c>
      <c r="R33" s="51"/>
      <c r="S33" s="51"/>
      <c r="T33" s="4"/>
    </row>
    <row r="34" spans="1:20">
      <c r="A34" s="69">
        <v>25</v>
      </c>
      <c r="B34" s="51" t="s">
        <v>52</v>
      </c>
      <c r="C34" s="51"/>
      <c r="D34" s="51"/>
      <c r="E34" s="51"/>
      <c r="F34" s="51"/>
      <c r="G34" s="51">
        <v>3</v>
      </c>
      <c r="H34" s="68">
        <v>185</v>
      </c>
      <c r="I34" s="51"/>
      <c r="J34" s="51"/>
      <c r="K34" s="51"/>
      <c r="L34" s="51"/>
      <c r="M34" s="51"/>
      <c r="N34" s="51"/>
      <c r="O34" s="51"/>
      <c r="P34" s="51"/>
      <c r="Q34" s="52">
        <f t="shared" si="1"/>
        <v>7.4</v>
      </c>
      <c r="R34" s="51"/>
      <c r="S34" s="51"/>
      <c r="T34" s="4"/>
    </row>
    <row r="35" spans="1:20">
      <c r="A35" s="69">
        <v>26</v>
      </c>
      <c r="B35" s="51" t="s">
        <v>53</v>
      </c>
      <c r="C35" s="51"/>
      <c r="D35" s="51"/>
      <c r="E35" s="51"/>
      <c r="F35" s="51"/>
      <c r="G35" s="51">
        <v>11</v>
      </c>
      <c r="H35" s="68">
        <v>195</v>
      </c>
      <c r="I35" s="51"/>
      <c r="J35" s="51"/>
      <c r="K35" s="51"/>
      <c r="L35" s="51"/>
      <c r="M35" s="51"/>
      <c r="N35" s="51"/>
      <c r="O35" s="51"/>
      <c r="P35" s="51"/>
      <c r="Q35" s="52">
        <f t="shared" si="1"/>
        <v>7.8</v>
      </c>
      <c r="R35" s="51"/>
      <c r="S35" s="51"/>
      <c r="T35" s="4"/>
    </row>
    <row r="36" spans="1:20">
      <c r="A36" s="69">
        <v>27</v>
      </c>
      <c r="B36" s="51" t="s">
        <v>54</v>
      </c>
      <c r="C36" s="51"/>
      <c r="D36" s="51"/>
      <c r="E36" s="51"/>
      <c r="F36" s="51"/>
      <c r="G36" s="51">
        <v>6</v>
      </c>
      <c r="H36" s="68">
        <v>714</v>
      </c>
      <c r="I36" s="51"/>
      <c r="J36" s="51"/>
      <c r="K36" s="51"/>
      <c r="L36" s="51"/>
      <c r="M36" s="51"/>
      <c r="N36" s="51"/>
      <c r="O36" s="51"/>
      <c r="P36" s="51"/>
      <c r="Q36" s="52">
        <f t="shared" si="1"/>
        <v>28.560000000000002</v>
      </c>
      <c r="R36" s="51"/>
      <c r="S36" s="51"/>
      <c r="T36" s="4"/>
    </row>
    <row r="37" spans="1:20">
      <c r="A37" s="69">
        <v>28</v>
      </c>
      <c r="B37" s="51" t="s">
        <v>135</v>
      </c>
      <c r="C37" s="51"/>
      <c r="D37" s="51"/>
      <c r="E37" s="51"/>
      <c r="F37" s="51"/>
      <c r="G37" s="51">
        <v>9</v>
      </c>
      <c r="H37" s="68">
        <v>461</v>
      </c>
      <c r="I37" s="51"/>
      <c r="J37" s="51"/>
      <c r="K37" s="51"/>
      <c r="L37" s="51"/>
      <c r="M37" s="51"/>
      <c r="N37" s="51"/>
      <c r="O37" s="51"/>
      <c r="P37" s="51"/>
      <c r="Q37" s="52">
        <f t="shared" si="1"/>
        <v>18.440000000000001</v>
      </c>
      <c r="R37" s="51"/>
      <c r="S37" s="51"/>
      <c r="T37" s="1" t="s">
        <v>267</v>
      </c>
    </row>
    <row r="38" spans="1:20">
      <c r="A38" s="69">
        <v>29</v>
      </c>
      <c r="B38" s="51" t="s">
        <v>326</v>
      </c>
      <c r="C38" s="51"/>
      <c r="D38" s="51"/>
      <c r="E38" s="51"/>
      <c r="F38" s="51"/>
      <c r="G38" s="51">
        <v>1</v>
      </c>
      <c r="H38" s="68">
        <v>121</v>
      </c>
      <c r="I38" s="51"/>
      <c r="J38" s="51"/>
      <c r="K38" s="51"/>
      <c r="L38" s="51"/>
      <c r="M38" s="51"/>
      <c r="N38" s="51"/>
      <c r="O38" s="51"/>
      <c r="P38" s="51"/>
      <c r="Q38" s="52">
        <f t="shared" si="1"/>
        <v>4.84</v>
      </c>
      <c r="R38" s="51"/>
      <c r="S38" s="51"/>
      <c r="T38" s="4"/>
    </row>
    <row r="39" spans="1:20">
      <c r="A39" s="69">
        <v>30</v>
      </c>
      <c r="B39" s="51" t="s">
        <v>55</v>
      </c>
      <c r="C39" s="51"/>
      <c r="D39" s="51"/>
      <c r="E39" s="51"/>
      <c r="F39" s="51"/>
      <c r="G39" s="51">
        <v>11</v>
      </c>
      <c r="H39" s="68">
        <v>201</v>
      </c>
      <c r="I39" s="51"/>
      <c r="J39" s="51"/>
      <c r="K39" s="51"/>
      <c r="L39" s="51"/>
      <c r="M39" s="51"/>
      <c r="N39" s="51"/>
      <c r="O39" s="51"/>
      <c r="P39" s="51"/>
      <c r="Q39" s="52">
        <f t="shared" si="1"/>
        <v>8.0400000000000009</v>
      </c>
      <c r="R39" s="51"/>
      <c r="S39" s="51"/>
      <c r="T39" s="1" t="s">
        <v>267</v>
      </c>
    </row>
    <row r="40" spans="1:20">
      <c r="A40" s="69">
        <v>31</v>
      </c>
      <c r="B40" s="51" t="s">
        <v>56</v>
      </c>
      <c r="C40" s="51"/>
      <c r="D40" s="51"/>
      <c r="E40" s="51"/>
      <c r="F40" s="51"/>
      <c r="G40" s="51">
        <v>17</v>
      </c>
      <c r="H40" s="68">
        <v>1109</v>
      </c>
      <c r="I40" s="51"/>
      <c r="J40" s="51"/>
      <c r="K40" s="51"/>
      <c r="L40" s="51"/>
      <c r="M40" s="51"/>
      <c r="N40" s="51"/>
      <c r="O40" s="51"/>
      <c r="P40" s="51"/>
      <c r="Q40" s="52">
        <f t="shared" si="1"/>
        <v>44.36</v>
      </c>
      <c r="R40" s="51"/>
      <c r="S40" s="51"/>
      <c r="T40" s="1" t="s">
        <v>268</v>
      </c>
    </row>
    <row r="41" spans="1:20">
      <c r="A41" s="69">
        <v>32</v>
      </c>
      <c r="B41" s="60" t="s">
        <v>63</v>
      </c>
      <c r="C41" s="51"/>
      <c r="D41" s="51"/>
      <c r="E41" s="51"/>
      <c r="F41" s="51"/>
      <c r="G41" s="51">
        <v>4</v>
      </c>
      <c r="H41" s="68">
        <v>422</v>
      </c>
      <c r="I41" s="51"/>
      <c r="J41" s="51"/>
      <c r="K41" s="51"/>
      <c r="L41" s="51"/>
      <c r="M41" s="51"/>
      <c r="N41" s="51"/>
      <c r="O41" s="51"/>
      <c r="P41" s="51"/>
      <c r="Q41" s="52">
        <f t="shared" si="1"/>
        <v>16.88</v>
      </c>
      <c r="R41" s="51"/>
      <c r="S41" s="51"/>
      <c r="T41" s="7"/>
    </row>
    <row r="42" spans="1:20">
      <c r="A42" s="69">
        <v>33</v>
      </c>
      <c r="B42" s="51" t="s">
        <v>64</v>
      </c>
      <c r="C42" s="51"/>
      <c r="D42" s="51"/>
      <c r="E42" s="51"/>
      <c r="F42" s="51"/>
      <c r="G42" s="51">
        <v>2</v>
      </c>
      <c r="H42" s="68">
        <v>89</v>
      </c>
      <c r="I42" s="51"/>
      <c r="J42" s="51"/>
      <c r="K42" s="51"/>
      <c r="L42" s="51"/>
      <c r="M42" s="51"/>
      <c r="N42" s="51"/>
      <c r="O42" s="51"/>
      <c r="P42" s="51"/>
      <c r="Q42" s="52">
        <f t="shared" si="1"/>
        <v>3.56</v>
      </c>
      <c r="R42" s="51"/>
      <c r="S42" s="51"/>
      <c r="T42" s="4"/>
    </row>
    <row r="43" spans="1:20">
      <c r="A43" s="69">
        <v>34</v>
      </c>
      <c r="B43" s="51" t="s">
        <v>65</v>
      </c>
      <c r="C43" s="51"/>
      <c r="D43" s="51"/>
      <c r="E43" s="51"/>
      <c r="F43" s="51"/>
      <c r="G43" s="51">
        <v>4</v>
      </c>
      <c r="H43" s="68">
        <v>599</v>
      </c>
      <c r="I43" s="51"/>
      <c r="J43" s="51"/>
      <c r="K43" s="51"/>
      <c r="L43" s="51"/>
      <c r="M43" s="51"/>
      <c r="N43" s="51"/>
      <c r="O43" s="51"/>
      <c r="P43" s="51"/>
      <c r="Q43" s="52">
        <f t="shared" si="1"/>
        <v>23.96</v>
      </c>
      <c r="R43" s="51"/>
      <c r="S43" s="51"/>
      <c r="T43" s="1" t="s">
        <v>267</v>
      </c>
    </row>
    <row r="44" spans="1:20">
      <c r="A44" s="69">
        <v>35</v>
      </c>
      <c r="B44" s="51" t="s">
        <v>66</v>
      </c>
      <c r="C44" s="51"/>
      <c r="D44" s="51"/>
      <c r="E44" s="51"/>
      <c r="F44" s="51"/>
      <c r="G44" s="51">
        <v>4</v>
      </c>
      <c r="H44" s="68">
        <v>643</v>
      </c>
      <c r="I44" s="51"/>
      <c r="J44" s="51"/>
      <c r="K44" s="51"/>
      <c r="L44" s="51"/>
      <c r="M44" s="51"/>
      <c r="N44" s="51"/>
      <c r="O44" s="51"/>
      <c r="P44" s="51"/>
      <c r="Q44" s="52">
        <f t="shared" si="1"/>
        <v>25.72</v>
      </c>
      <c r="R44" s="51"/>
      <c r="S44" s="51"/>
      <c r="T44" s="1" t="s">
        <v>267</v>
      </c>
    </row>
    <row r="45" spans="1:20">
      <c r="A45" s="69">
        <v>36</v>
      </c>
      <c r="B45" s="51" t="s">
        <v>67</v>
      </c>
      <c r="C45" s="51"/>
      <c r="D45" s="51"/>
      <c r="E45" s="51"/>
      <c r="F45" s="51"/>
      <c r="G45" s="51">
        <v>14</v>
      </c>
      <c r="H45" s="68">
        <v>708</v>
      </c>
      <c r="I45" s="51"/>
      <c r="J45" s="51"/>
      <c r="K45" s="51"/>
      <c r="L45" s="51"/>
      <c r="M45" s="51"/>
      <c r="N45" s="51"/>
      <c r="O45" s="51"/>
      <c r="P45" s="51"/>
      <c r="Q45" s="52">
        <f t="shared" si="1"/>
        <v>28.32</v>
      </c>
      <c r="R45" s="51"/>
      <c r="S45" s="51"/>
      <c r="T45" s="3" t="s">
        <v>269</v>
      </c>
    </row>
    <row r="46" spans="1:20">
      <c r="A46" s="69">
        <v>37</v>
      </c>
      <c r="B46" s="51" t="s">
        <v>74</v>
      </c>
      <c r="C46" s="51"/>
      <c r="D46" s="51"/>
      <c r="E46" s="51"/>
      <c r="F46" s="51"/>
      <c r="G46" s="51">
        <v>2</v>
      </c>
      <c r="H46" s="68">
        <v>89</v>
      </c>
      <c r="I46" s="51"/>
      <c r="J46" s="51"/>
      <c r="K46" s="51"/>
      <c r="L46" s="51"/>
      <c r="M46" s="51"/>
      <c r="N46" s="51"/>
      <c r="O46" s="51"/>
      <c r="P46" s="51"/>
      <c r="Q46" s="52">
        <f t="shared" si="1"/>
        <v>3.56</v>
      </c>
      <c r="R46" s="51"/>
      <c r="S46" s="51"/>
      <c r="T46" s="4"/>
    </row>
    <row r="47" spans="1:20">
      <c r="A47" s="69">
        <v>38</v>
      </c>
      <c r="B47" s="51" t="s">
        <v>75</v>
      </c>
      <c r="C47" s="51"/>
      <c r="D47" s="51"/>
      <c r="E47" s="51"/>
      <c r="F47" s="51"/>
      <c r="G47" s="51">
        <v>3</v>
      </c>
      <c r="H47" s="68">
        <v>127</v>
      </c>
      <c r="I47" s="51"/>
      <c r="J47" s="51"/>
      <c r="K47" s="51"/>
      <c r="L47" s="51"/>
      <c r="M47" s="51"/>
      <c r="N47" s="51"/>
      <c r="O47" s="51"/>
      <c r="P47" s="51"/>
      <c r="Q47" s="52">
        <f t="shared" si="1"/>
        <v>5.08</v>
      </c>
      <c r="R47" s="51"/>
      <c r="S47" s="51"/>
      <c r="T47" s="4"/>
    </row>
    <row r="48" spans="1:20">
      <c r="A48" s="69">
        <v>39</v>
      </c>
      <c r="B48" s="51" t="s">
        <v>133</v>
      </c>
      <c r="C48" s="51"/>
      <c r="D48" s="51"/>
      <c r="E48" s="51"/>
      <c r="F48" s="51"/>
      <c r="G48" s="51">
        <v>2</v>
      </c>
      <c r="H48" s="68">
        <v>63</v>
      </c>
      <c r="I48" s="51"/>
      <c r="J48" s="51"/>
      <c r="K48" s="51"/>
      <c r="L48" s="51"/>
      <c r="M48" s="51"/>
      <c r="N48" s="51"/>
      <c r="O48" s="51"/>
      <c r="P48" s="51"/>
      <c r="Q48" s="52">
        <f t="shared" si="1"/>
        <v>2.52</v>
      </c>
      <c r="R48" s="51"/>
      <c r="S48" s="51"/>
      <c r="T48" s="1" t="s">
        <v>267</v>
      </c>
    </row>
    <row r="49" spans="1:20">
      <c r="A49" s="69">
        <v>40</v>
      </c>
      <c r="B49" s="51" t="s">
        <v>77</v>
      </c>
      <c r="C49" s="51"/>
      <c r="D49" s="51"/>
      <c r="E49" s="51"/>
      <c r="F49" s="51"/>
      <c r="G49" s="51">
        <v>2</v>
      </c>
      <c r="H49" s="68">
        <v>301</v>
      </c>
      <c r="I49" s="51"/>
      <c r="J49" s="51"/>
      <c r="K49" s="51"/>
      <c r="L49" s="51"/>
      <c r="M49" s="51"/>
      <c r="N49" s="51"/>
      <c r="O49" s="51"/>
      <c r="P49" s="51"/>
      <c r="Q49" s="52">
        <f t="shared" si="1"/>
        <v>12.040000000000001</v>
      </c>
      <c r="R49" s="51"/>
      <c r="S49" s="51"/>
      <c r="T49" s="1" t="s">
        <v>267</v>
      </c>
    </row>
    <row r="50" spans="1:20">
      <c r="A50" s="69">
        <v>41</v>
      </c>
      <c r="B50" s="51" t="s">
        <v>78</v>
      </c>
      <c r="C50" s="51"/>
      <c r="D50" s="51"/>
      <c r="E50" s="51"/>
      <c r="F50" s="51"/>
      <c r="G50" s="51">
        <v>4</v>
      </c>
      <c r="H50" s="68">
        <v>193</v>
      </c>
      <c r="I50" s="51"/>
      <c r="J50" s="51"/>
      <c r="K50" s="51"/>
      <c r="L50" s="51"/>
      <c r="M50" s="51"/>
      <c r="N50" s="51"/>
      <c r="O50" s="51"/>
      <c r="P50" s="51"/>
      <c r="Q50" s="52">
        <f t="shared" si="1"/>
        <v>7.72</v>
      </c>
      <c r="R50" s="51"/>
      <c r="S50" s="51"/>
      <c r="T50" s="1" t="s">
        <v>267</v>
      </c>
    </row>
    <row r="51" spans="1:20">
      <c r="A51" s="69">
        <v>42</v>
      </c>
      <c r="B51" s="51" t="s">
        <v>79</v>
      </c>
      <c r="C51" s="51"/>
      <c r="D51" s="51"/>
      <c r="E51" s="51"/>
      <c r="F51" s="51"/>
      <c r="G51" s="51">
        <v>2</v>
      </c>
      <c r="H51" s="68">
        <v>60</v>
      </c>
      <c r="I51" s="51"/>
      <c r="J51" s="51"/>
      <c r="K51" s="51"/>
      <c r="L51" s="51"/>
      <c r="M51" s="51"/>
      <c r="N51" s="51"/>
      <c r="O51" s="51"/>
      <c r="P51" s="51"/>
      <c r="Q51" s="52">
        <f t="shared" si="1"/>
        <v>2.4</v>
      </c>
      <c r="R51" s="51"/>
      <c r="S51" s="51"/>
      <c r="T51" s="1" t="s">
        <v>267</v>
      </c>
    </row>
    <row r="52" spans="1:20">
      <c r="A52" s="69">
        <v>43</v>
      </c>
      <c r="B52" s="51" t="s">
        <v>68</v>
      </c>
      <c r="C52" s="51"/>
      <c r="D52" s="51"/>
      <c r="E52" s="51"/>
      <c r="F52" s="51"/>
      <c r="G52" s="51">
        <v>2</v>
      </c>
      <c r="H52" s="68">
        <v>103</v>
      </c>
      <c r="I52" s="51"/>
      <c r="J52" s="51"/>
      <c r="K52" s="51"/>
      <c r="L52" s="51"/>
      <c r="M52" s="51"/>
      <c r="N52" s="51"/>
      <c r="O52" s="51"/>
      <c r="P52" s="51"/>
      <c r="Q52" s="52">
        <f t="shared" si="1"/>
        <v>4.12</v>
      </c>
      <c r="R52" s="51"/>
      <c r="S52" s="51"/>
      <c r="T52" s="4"/>
    </row>
    <row r="53" spans="1:20">
      <c r="A53" s="69">
        <v>44</v>
      </c>
      <c r="B53" s="51" t="s">
        <v>87</v>
      </c>
      <c r="C53" s="51"/>
      <c r="D53" s="51"/>
      <c r="E53" s="51"/>
      <c r="F53" s="51"/>
      <c r="G53" s="51">
        <v>2</v>
      </c>
      <c r="H53" s="68">
        <v>47</v>
      </c>
      <c r="I53" s="51"/>
      <c r="J53" s="51"/>
      <c r="K53" s="51"/>
      <c r="L53" s="51"/>
      <c r="M53" s="51"/>
      <c r="N53" s="51"/>
      <c r="O53" s="51"/>
      <c r="P53" s="51"/>
      <c r="Q53" s="52">
        <f t="shared" si="1"/>
        <v>1.8800000000000001</v>
      </c>
      <c r="R53" s="51"/>
      <c r="S53" s="51"/>
      <c r="T53" s="4"/>
    </row>
    <row r="54" spans="1:20">
      <c r="A54" s="69">
        <v>45</v>
      </c>
      <c r="B54" s="51" t="s">
        <v>88</v>
      </c>
      <c r="C54" s="51"/>
      <c r="D54" s="51"/>
      <c r="E54" s="51"/>
      <c r="F54" s="51"/>
      <c r="G54" s="51">
        <v>2</v>
      </c>
      <c r="H54" s="68">
        <v>235</v>
      </c>
      <c r="I54" s="51"/>
      <c r="J54" s="51"/>
      <c r="K54" s="51"/>
      <c r="L54" s="51"/>
      <c r="M54" s="51"/>
      <c r="N54" s="51"/>
      <c r="O54" s="51"/>
      <c r="P54" s="51"/>
      <c r="Q54" s="52">
        <f t="shared" si="1"/>
        <v>9.4</v>
      </c>
      <c r="R54" s="51"/>
      <c r="S54" s="51"/>
      <c r="T54" s="1" t="s">
        <v>267</v>
      </c>
    </row>
    <row r="55" spans="1:20">
      <c r="A55" s="69">
        <v>46</v>
      </c>
      <c r="B55" s="51" t="s">
        <v>89</v>
      </c>
      <c r="C55" s="51"/>
      <c r="D55" s="51"/>
      <c r="E55" s="51"/>
      <c r="F55" s="51"/>
      <c r="G55" s="51">
        <v>11</v>
      </c>
      <c r="H55" s="68">
        <v>332</v>
      </c>
      <c r="I55" s="51"/>
      <c r="J55" s="51"/>
      <c r="K55" s="51"/>
      <c r="L55" s="51"/>
      <c r="M55" s="51"/>
      <c r="N55" s="51"/>
      <c r="O55" s="51"/>
      <c r="P55" s="51"/>
      <c r="Q55" s="52">
        <f t="shared" si="1"/>
        <v>13.280000000000001</v>
      </c>
      <c r="R55" s="51"/>
      <c r="S55" s="51"/>
      <c r="T55" s="1" t="s">
        <v>268</v>
      </c>
    </row>
    <row r="56" spans="1:20">
      <c r="A56" s="69">
        <v>47</v>
      </c>
      <c r="B56" s="51" t="s">
        <v>90</v>
      </c>
      <c r="C56" s="51"/>
      <c r="D56" s="51"/>
      <c r="E56" s="51"/>
      <c r="F56" s="51"/>
      <c r="G56" s="51">
        <v>12</v>
      </c>
      <c r="H56" s="68">
        <v>592</v>
      </c>
      <c r="I56" s="51"/>
      <c r="J56" s="51"/>
      <c r="K56" s="51"/>
      <c r="L56" s="51"/>
      <c r="M56" s="51"/>
      <c r="N56" s="51"/>
      <c r="O56" s="51"/>
      <c r="P56" s="51"/>
      <c r="Q56" s="52">
        <f t="shared" si="1"/>
        <v>23.68</v>
      </c>
      <c r="R56" s="51"/>
      <c r="S56" s="51"/>
      <c r="T56" s="1" t="s">
        <v>267</v>
      </c>
    </row>
    <row r="57" spans="1:20">
      <c r="A57" s="69">
        <v>48</v>
      </c>
      <c r="B57" s="51" t="s">
        <v>91</v>
      </c>
      <c r="C57" s="51"/>
      <c r="D57" s="51"/>
      <c r="E57" s="51"/>
      <c r="F57" s="51"/>
      <c r="G57" s="51">
        <v>1</v>
      </c>
      <c r="H57" s="68">
        <v>30</v>
      </c>
      <c r="I57" s="51"/>
      <c r="J57" s="51"/>
      <c r="K57" s="51"/>
      <c r="L57" s="51"/>
      <c r="M57" s="51"/>
      <c r="N57" s="51"/>
      <c r="O57" s="51"/>
      <c r="P57" s="51"/>
      <c r="Q57" s="52">
        <f t="shared" si="1"/>
        <v>1.2</v>
      </c>
      <c r="R57" s="51"/>
      <c r="S57" s="51"/>
      <c r="T57" s="4"/>
    </row>
    <row r="58" spans="1:20">
      <c r="A58" s="69">
        <v>49</v>
      </c>
      <c r="B58" s="51" t="s">
        <v>92</v>
      </c>
      <c r="C58" s="51"/>
      <c r="D58" s="51"/>
      <c r="E58" s="51"/>
      <c r="F58" s="51"/>
      <c r="G58" s="51">
        <v>11</v>
      </c>
      <c r="H58" s="68">
        <v>254</v>
      </c>
      <c r="I58" s="51"/>
      <c r="J58" s="51"/>
      <c r="K58" s="51"/>
      <c r="L58" s="51"/>
      <c r="M58" s="51"/>
      <c r="N58" s="51"/>
      <c r="O58" s="51"/>
      <c r="P58" s="51"/>
      <c r="Q58" s="52">
        <f t="shared" si="1"/>
        <v>10.16</v>
      </c>
      <c r="R58" s="51"/>
      <c r="S58" s="51"/>
      <c r="T58" s="1" t="s">
        <v>267</v>
      </c>
    </row>
    <row r="59" spans="1:20">
      <c r="A59" s="69">
        <v>50</v>
      </c>
      <c r="B59" s="51" t="s">
        <v>98</v>
      </c>
      <c r="C59" s="51"/>
      <c r="D59" s="51"/>
      <c r="E59" s="51"/>
      <c r="F59" s="51"/>
      <c r="G59" s="51">
        <v>4</v>
      </c>
      <c r="H59" s="68">
        <v>147</v>
      </c>
      <c r="I59" s="51"/>
      <c r="J59" s="51"/>
      <c r="K59" s="51"/>
      <c r="L59" s="51"/>
      <c r="M59" s="51"/>
      <c r="N59" s="51"/>
      <c r="O59" s="51"/>
      <c r="P59" s="51"/>
      <c r="Q59" s="52">
        <f t="shared" si="1"/>
        <v>5.88</v>
      </c>
      <c r="R59" s="51"/>
      <c r="S59" s="51"/>
      <c r="T59" s="1" t="s">
        <v>267</v>
      </c>
    </row>
    <row r="60" spans="1:20">
      <c r="A60" s="69">
        <v>51</v>
      </c>
      <c r="B60" s="51" t="s">
        <v>99</v>
      </c>
      <c r="C60" s="51"/>
      <c r="D60" s="51"/>
      <c r="E60" s="51"/>
      <c r="F60" s="51"/>
      <c r="G60" s="51">
        <v>1</v>
      </c>
      <c r="H60" s="68">
        <v>30</v>
      </c>
      <c r="I60" s="51"/>
      <c r="J60" s="51"/>
      <c r="K60" s="51"/>
      <c r="L60" s="51"/>
      <c r="M60" s="51"/>
      <c r="N60" s="51"/>
      <c r="O60" s="51"/>
      <c r="P60" s="51"/>
      <c r="Q60" s="52">
        <f t="shared" si="1"/>
        <v>1.2</v>
      </c>
      <c r="R60" s="51"/>
      <c r="S60" s="51"/>
      <c r="T60" s="4"/>
    </row>
    <row r="61" spans="1:20">
      <c r="A61" s="69">
        <v>52</v>
      </c>
      <c r="B61" s="51" t="s">
        <v>100</v>
      </c>
      <c r="C61" s="51"/>
      <c r="D61" s="51"/>
      <c r="E61" s="51"/>
      <c r="F61" s="51"/>
      <c r="G61" s="51">
        <v>1</v>
      </c>
      <c r="H61" s="68">
        <v>51</v>
      </c>
      <c r="I61" s="51"/>
      <c r="J61" s="51"/>
      <c r="K61" s="51"/>
      <c r="L61" s="51"/>
      <c r="M61" s="51"/>
      <c r="N61" s="51"/>
      <c r="O61" s="51"/>
      <c r="P61" s="51"/>
      <c r="Q61" s="52">
        <f t="shared" si="1"/>
        <v>2.04</v>
      </c>
      <c r="R61" s="51"/>
      <c r="S61" s="51"/>
      <c r="T61" s="4"/>
    </row>
    <row r="62" spans="1:20">
      <c r="A62" s="69">
        <v>53</v>
      </c>
      <c r="B62" s="51" t="s">
        <v>101</v>
      </c>
      <c r="C62" s="51"/>
      <c r="D62" s="51"/>
      <c r="E62" s="51"/>
      <c r="F62" s="51"/>
      <c r="G62" s="51">
        <v>1</v>
      </c>
      <c r="H62" s="68">
        <v>88</v>
      </c>
      <c r="I62" s="51"/>
      <c r="J62" s="51"/>
      <c r="K62" s="51"/>
      <c r="L62" s="51"/>
      <c r="M62" s="51"/>
      <c r="N62" s="51"/>
      <c r="O62" s="51"/>
      <c r="P62" s="51"/>
      <c r="Q62" s="52">
        <f t="shared" si="1"/>
        <v>3.52</v>
      </c>
      <c r="R62" s="51"/>
      <c r="S62" s="51"/>
      <c r="T62" s="4"/>
    </row>
    <row r="63" spans="1:20">
      <c r="A63" s="69">
        <v>54</v>
      </c>
      <c r="B63" s="51" t="s">
        <v>102</v>
      </c>
      <c r="C63" s="51"/>
      <c r="D63" s="51"/>
      <c r="E63" s="51"/>
      <c r="F63" s="51"/>
      <c r="G63" s="51">
        <v>1</v>
      </c>
      <c r="H63" s="68">
        <v>73</v>
      </c>
      <c r="I63" s="51"/>
      <c r="J63" s="51"/>
      <c r="K63" s="51"/>
      <c r="L63" s="51"/>
      <c r="M63" s="51"/>
      <c r="N63" s="51"/>
      <c r="O63" s="51"/>
      <c r="P63" s="51"/>
      <c r="Q63" s="52">
        <f t="shared" si="1"/>
        <v>2.92</v>
      </c>
      <c r="R63" s="51"/>
      <c r="S63" s="51"/>
      <c r="T63" s="4"/>
    </row>
    <row r="64" spans="1:20">
      <c r="A64" s="69">
        <v>55</v>
      </c>
      <c r="B64" s="51" t="s">
        <v>327</v>
      </c>
      <c r="C64" s="51"/>
      <c r="D64" s="51"/>
      <c r="E64" s="51"/>
      <c r="F64" s="51"/>
      <c r="G64" s="51">
        <v>1</v>
      </c>
      <c r="H64" s="68">
        <v>87</v>
      </c>
      <c r="I64" s="51"/>
      <c r="J64" s="51"/>
      <c r="K64" s="51"/>
      <c r="L64" s="51"/>
      <c r="M64" s="51"/>
      <c r="N64" s="51"/>
      <c r="O64" s="51"/>
      <c r="P64" s="51"/>
      <c r="Q64" s="52">
        <f t="shared" si="1"/>
        <v>3.48</v>
      </c>
      <c r="R64" s="51"/>
      <c r="S64" s="51"/>
      <c r="T64" s="4"/>
    </row>
    <row r="65" spans="1:21">
      <c r="A65" s="69">
        <v>56</v>
      </c>
      <c r="B65" s="51" t="s">
        <v>109</v>
      </c>
      <c r="C65" s="51"/>
      <c r="D65" s="51"/>
      <c r="E65" s="51"/>
      <c r="F65" s="51"/>
      <c r="G65" s="51">
        <v>7</v>
      </c>
      <c r="H65" s="68">
        <v>732</v>
      </c>
      <c r="I65" s="51"/>
      <c r="J65" s="51"/>
      <c r="K65" s="51"/>
      <c r="L65" s="51"/>
      <c r="M65" s="51"/>
      <c r="N65" s="51"/>
      <c r="O65" s="51"/>
      <c r="P65" s="51"/>
      <c r="Q65" s="52">
        <f t="shared" si="1"/>
        <v>29.28</v>
      </c>
      <c r="R65" s="51"/>
      <c r="S65" s="51"/>
      <c r="T65" s="1" t="s">
        <v>268</v>
      </c>
    </row>
    <row r="66" spans="1:21">
      <c r="A66" s="69">
        <v>57</v>
      </c>
      <c r="B66" s="51" t="s">
        <v>110</v>
      </c>
      <c r="C66" s="51"/>
      <c r="D66" s="51"/>
      <c r="E66" s="51"/>
      <c r="F66" s="51"/>
      <c r="G66" s="51">
        <v>2</v>
      </c>
      <c r="H66" s="68">
        <v>126</v>
      </c>
      <c r="I66" s="51"/>
      <c r="J66" s="51"/>
      <c r="K66" s="51"/>
      <c r="L66" s="51"/>
      <c r="M66" s="51"/>
      <c r="N66" s="51"/>
      <c r="O66" s="51"/>
      <c r="P66" s="51"/>
      <c r="Q66" s="52">
        <f t="shared" si="1"/>
        <v>5.04</v>
      </c>
      <c r="R66" s="51"/>
      <c r="S66" s="51"/>
      <c r="T66" s="4"/>
    </row>
    <row r="67" spans="1:21">
      <c r="A67" s="69">
        <v>58</v>
      </c>
      <c r="B67" s="51" t="s">
        <v>328</v>
      </c>
      <c r="C67" s="51"/>
      <c r="D67" s="51"/>
      <c r="E67" s="51"/>
      <c r="F67" s="51"/>
      <c r="G67" s="51">
        <v>2</v>
      </c>
      <c r="H67" s="68">
        <v>83</v>
      </c>
      <c r="I67" s="51"/>
      <c r="J67" s="51"/>
      <c r="K67" s="51"/>
      <c r="L67" s="51"/>
      <c r="M67" s="51"/>
      <c r="N67" s="51"/>
      <c r="O67" s="51"/>
      <c r="P67" s="51"/>
      <c r="Q67" s="52">
        <f t="shared" si="1"/>
        <v>3.3200000000000003</v>
      </c>
      <c r="R67" s="51"/>
      <c r="S67" s="51"/>
      <c r="T67" s="4"/>
    </row>
    <row r="68" spans="1:21">
      <c r="A68" s="69">
        <v>59</v>
      </c>
      <c r="B68" s="51" t="s">
        <v>111</v>
      </c>
      <c r="C68" s="51"/>
      <c r="D68" s="51"/>
      <c r="E68" s="51"/>
      <c r="F68" s="51"/>
      <c r="G68" s="51">
        <v>1</v>
      </c>
      <c r="H68" s="68">
        <v>43</v>
      </c>
      <c r="I68" s="51"/>
      <c r="J68" s="51"/>
      <c r="K68" s="51"/>
      <c r="L68" s="51"/>
      <c r="M68" s="51"/>
      <c r="N68" s="51"/>
      <c r="O68" s="51"/>
      <c r="P68" s="51"/>
      <c r="Q68" s="52">
        <f t="shared" si="1"/>
        <v>1.72</v>
      </c>
      <c r="R68" s="51"/>
      <c r="S68" s="51"/>
      <c r="T68" s="4"/>
    </row>
    <row r="69" spans="1:21">
      <c r="A69" s="69">
        <v>60</v>
      </c>
      <c r="B69" s="4" t="s">
        <v>329</v>
      </c>
      <c r="C69" s="51"/>
      <c r="D69" s="51"/>
      <c r="E69" s="51"/>
      <c r="F69" s="51"/>
      <c r="G69" s="51">
        <v>2</v>
      </c>
      <c r="H69" s="68">
        <v>71</v>
      </c>
      <c r="I69" s="51"/>
      <c r="J69" s="51"/>
      <c r="K69" s="51"/>
      <c r="L69" s="51"/>
      <c r="M69" s="51"/>
      <c r="N69" s="51"/>
      <c r="O69" s="51"/>
      <c r="P69" s="51"/>
      <c r="Q69" s="52">
        <f t="shared" si="1"/>
        <v>2.84</v>
      </c>
      <c r="R69" s="51"/>
      <c r="S69" s="51"/>
      <c r="T69" s="4"/>
    </row>
    <row r="70" spans="1:21">
      <c r="A70" s="69">
        <v>61</v>
      </c>
      <c r="B70" s="61" t="s">
        <v>129</v>
      </c>
      <c r="C70" s="51"/>
      <c r="D70" s="51"/>
      <c r="E70" s="51"/>
      <c r="F70" s="51"/>
      <c r="G70" s="51">
        <v>1</v>
      </c>
      <c r="H70" s="68">
        <v>115</v>
      </c>
      <c r="I70" s="51"/>
      <c r="J70" s="51"/>
      <c r="K70" s="51"/>
      <c r="L70" s="51"/>
      <c r="M70" s="51"/>
      <c r="N70" s="51"/>
      <c r="O70" s="51"/>
      <c r="P70" s="51"/>
      <c r="Q70" s="52">
        <f t="shared" si="1"/>
        <v>4.6000000000000005</v>
      </c>
      <c r="R70" s="51"/>
      <c r="S70" s="51"/>
      <c r="T70" s="15"/>
    </row>
    <row r="71" spans="1:21">
      <c r="A71" s="69">
        <v>62</v>
      </c>
      <c r="B71" s="51" t="s">
        <v>130</v>
      </c>
      <c r="C71" s="51"/>
      <c r="D71" s="51"/>
      <c r="E71" s="51"/>
      <c r="F71" s="51"/>
      <c r="G71" s="51">
        <v>1</v>
      </c>
      <c r="H71" s="68">
        <v>112</v>
      </c>
      <c r="I71" s="51"/>
      <c r="J71" s="51"/>
      <c r="K71" s="51"/>
      <c r="L71" s="51"/>
      <c r="M71" s="51"/>
      <c r="N71" s="51"/>
      <c r="O71" s="51"/>
      <c r="P71" s="51"/>
      <c r="Q71" s="52">
        <f t="shared" si="1"/>
        <v>4.4800000000000004</v>
      </c>
      <c r="R71" s="51"/>
      <c r="S71" s="51"/>
      <c r="T71" s="4"/>
    </row>
    <row r="72" spans="1:21">
      <c r="A72" s="69">
        <v>63</v>
      </c>
      <c r="B72" s="51" t="s">
        <v>131</v>
      </c>
      <c r="C72" s="51"/>
      <c r="D72" s="51"/>
      <c r="E72" s="51"/>
      <c r="F72" s="51"/>
      <c r="G72" s="51">
        <v>9</v>
      </c>
      <c r="H72" s="68">
        <v>1124</v>
      </c>
      <c r="I72" s="51"/>
      <c r="J72" s="51"/>
      <c r="K72" s="51"/>
      <c r="L72" s="51"/>
      <c r="M72" s="51"/>
      <c r="N72" s="51"/>
      <c r="O72" s="51"/>
      <c r="P72" s="51"/>
      <c r="Q72" s="52">
        <f t="shared" si="1"/>
        <v>44.96</v>
      </c>
      <c r="R72" s="51"/>
      <c r="S72" s="51"/>
      <c r="T72" s="4"/>
    </row>
    <row r="73" spans="1:21">
      <c r="A73" s="69">
        <v>64</v>
      </c>
      <c r="B73" s="4" t="s">
        <v>330</v>
      </c>
      <c r="C73" s="51"/>
      <c r="D73" s="51"/>
      <c r="E73" s="51"/>
      <c r="F73" s="51"/>
      <c r="G73" s="51">
        <v>1</v>
      </c>
      <c r="H73" s="68">
        <v>15</v>
      </c>
      <c r="I73" s="51"/>
      <c r="J73" s="51"/>
      <c r="K73" s="51"/>
      <c r="L73" s="51"/>
      <c r="M73" s="51"/>
      <c r="N73" s="51"/>
      <c r="O73" s="51"/>
      <c r="P73" s="51"/>
      <c r="Q73" s="52">
        <f t="shared" si="1"/>
        <v>0.6</v>
      </c>
      <c r="R73" s="51"/>
      <c r="S73" s="51"/>
      <c r="T73" s="4"/>
    </row>
    <row r="74" spans="1:21">
      <c r="A74" s="69">
        <v>65</v>
      </c>
      <c r="B74" s="51" t="s">
        <v>132</v>
      </c>
      <c r="C74" s="51"/>
      <c r="D74" s="51"/>
      <c r="E74" s="51"/>
      <c r="F74" s="51"/>
      <c r="G74" s="51">
        <v>2</v>
      </c>
      <c r="H74" s="68">
        <v>31</v>
      </c>
      <c r="I74" s="51"/>
      <c r="J74" s="51"/>
      <c r="K74" s="51"/>
      <c r="L74" s="51"/>
      <c r="M74" s="51"/>
      <c r="N74" s="51"/>
      <c r="O74" s="51"/>
      <c r="P74" s="51"/>
      <c r="Q74" s="52">
        <f t="shared" si="1"/>
        <v>1.24</v>
      </c>
      <c r="R74" s="51"/>
      <c r="S74" s="51"/>
      <c r="T74" s="4"/>
    </row>
    <row r="75" spans="1:21">
      <c r="A75" s="69">
        <v>66</v>
      </c>
      <c r="B75" s="51" t="s">
        <v>134</v>
      </c>
      <c r="C75" s="51"/>
      <c r="D75" s="51"/>
      <c r="E75" s="51"/>
      <c r="F75" s="51"/>
      <c r="G75" s="51">
        <v>18</v>
      </c>
      <c r="H75" s="68">
        <v>304</v>
      </c>
      <c r="I75" s="51"/>
      <c r="J75" s="51"/>
      <c r="K75" s="51"/>
      <c r="L75" s="51"/>
      <c r="M75" s="51"/>
      <c r="N75" s="51"/>
      <c r="O75" s="51"/>
      <c r="P75" s="51"/>
      <c r="Q75" s="52">
        <f t="shared" ref="Q75:Q84" si="2">H75*0.04</f>
        <v>12.16</v>
      </c>
      <c r="R75" s="51"/>
      <c r="S75" s="51"/>
      <c r="T75" s="1" t="s">
        <v>267</v>
      </c>
    </row>
    <row r="76" spans="1:21">
      <c r="A76" s="69">
        <v>67</v>
      </c>
      <c r="B76" s="51" t="s">
        <v>142</v>
      </c>
      <c r="C76" s="51"/>
      <c r="D76" s="51"/>
      <c r="E76" s="51"/>
      <c r="F76" s="51"/>
      <c r="G76" s="51">
        <v>1</v>
      </c>
      <c r="H76" s="68">
        <v>134</v>
      </c>
      <c r="I76" s="51"/>
      <c r="J76" s="51"/>
      <c r="K76" s="51"/>
      <c r="L76" s="51"/>
      <c r="M76" s="51"/>
      <c r="N76" s="51"/>
      <c r="O76" s="51"/>
      <c r="P76" s="51"/>
      <c r="Q76" s="52">
        <f t="shared" si="2"/>
        <v>5.36</v>
      </c>
      <c r="R76" s="51"/>
      <c r="S76" s="51"/>
      <c r="T76" s="4"/>
    </row>
    <row r="77" spans="1:21">
      <c r="A77" s="69">
        <v>68</v>
      </c>
      <c r="B77" s="51" t="s">
        <v>143</v>
      </c>
      <c r="C77" s="51"/>
      <c r="D77" s="51"/>
      <c r="E77" s="51"/>
      <c r="F77" s="51"/>
      <c r="G77" s="51">
        <v>1</v>
      </c>
      <c r="H77" s="68">
        <v>41</v>
      </c>
      <c r="I77" s="51"/>
      <c r="J77" s="51"/>
      <c r="K77" s="51"/>
      <c r="L77" s="51"/>
      <c r="M77" s="51"/>
      <c r="N77" s="51"/>
      <c r="O77" s="51"/>
      <c r="P77" s="51"/>
      <c r="Q77" s="52">
        <f t="shared" si="2"/>
        <v>1.6400000000000001</v>
      </c>
      <c r="R77" s="51"/>
      <c r="S77" s="51"/>
      <c r="T77" s="4"/>
    </row>
    <row r="78" spans="1:21">
      <c r="A78" s="69">
        <v>69</v>
      </c>
      <c r="B78" s="51" t="s">
        <v>323</v>
      </c>
      <c r="C78" s="51"/>
      <c r="D78" s="51"/>
      <c r="E78" s="51"/>
      <c r="F78" s="51"/>
      <c r="G78" s="51">
        <v>1</v>
      </c>
      <c r="H78" s="68">
        <v>182</v>
      </c>
      <c r="I78" s="51"/>
      <c r="J78" s="51"/>
      <c r="K78" s="51"/>
      <c r="L78" s="51"/>
      <c r="M78" s="51"/>
      <c r="N78" s="51"/>
      <c r="O78" s="51"/>
      <c r="P78" s="51"/>
      <c r="Q78" s="52">
        <f t="shared" si="2"/>
        <v>7.28</v>
      </c>
      <c r="R78" s="51"/>
      <c r="S78" s="51"/>
      <c r="T78" s="4"/>
    </row>
    <row r="79" spans="1:21">
      <c r="A79" s="69">
        <v>70</v>
      </c>
      <c r="B79" s="51" t="s">
        <v>168</v>
      </c>
      <c r="C79" s="51"/>
      <c r="D79" s="51"/>
      <c r="E79" s="51"/>
      <c r="F79" s="51"/>
      <c r="G79" s="51">
        <v>1</v>
      </c>
      <c r="H79" s="68">
        <v>59</v>
      </c>
      <c r="I79" s="51"/>
      <c r="J79" s="51"/>
      <c r="K79" s="51"/>
      <c r="L79" s="51"/>
      <c r="M79" s="51"/>
      <c r="N79" s="51"/>
      <c r="O79" s="51"/>
      <c r="P79" s="51"/>
      <c r="Q79" s="52">
        <f t="shared" si="2"/>
        <v>2.36</v>
      </c>
      <c r="R79" s="51"/>
      <c r="S79" s="51"/>
      <c r="T79" s="4"/>
    </row>
    <row r="80" spans="1:21">
      <c r="A80" s="69">
        <v>71</v>
      </c>
      <c r="B80" s="51" t="s">
        <v>169</v>
      </c>
      <c r="C80" s="51"/>
      <c r="D80" s="51"/>
      <c r="E80" s="51"/>
      <c r="F80" s="51"/>
      <c r="G80" s="51">
        <v>2</v>
      </c>
      <c r="H80" s="68">
        <v>129</v>
      </c>
      <c r="I80" s="51"/>
      <c r="J80" s="51"/>
      <c r="K80" s="51"/>
      <c r="L80" s="51"/>
      <c r="M80" s="51"/>
      <c r="N80" s="51"/>
      <c r="O80" s="51"/>
      <c r="P80" s="51"/>
      <c r="Q80" s="52">
        <f t="shared" si="2"/>
        <v>5.16</v>
      </c>
      <c r="R80" s="51"/>
      <c r="S80" s="51"/>
      <c r="T80" s="4"/>
      <c r="U80" s="49">
        <f>G81*2</f>
        <v>50</v>
      </c>
    </row>
    <row r="81" spans="1:21">
      <c r="A81" s="69">
        <v>72</v>
      </c>
      <c r="B81" s="51" t="s">
        <v>246</v>
      </c>
      <c r="C81" s="51"/>
      <c r="D81" s="51"/>
      <c r="E81" s="51"/>
      <c r="F81" s="51"/>
      <c r="G81" s="51">
        <v>25</v>
      </c>
      <c r="H81" s="68">
        <v>1029</v>
      </c>
      <c r="I81" s="51"/>
      <c r="J81" s="51"/>
      <c r="K81" s="51"/>
      <c r="L81" s="51"/>
      <c r="M81" s="51"/>
      <c r="N81" s="51"/>
      <c r="O81" s="51"/>
      <c r="P81" s="51"/>
      <c r="Q81" s="52">
        <f t="shared" si="2"/>
        <v>41.160000000000004</v>
      </c>
      <c r="R81" s="51"/>
      <c r="S81" s="51"/>
      <c r="T81" s="1" t="s">
        <v>267</v>
      </c>
    </row>
    <row r="82" spans="1:21">
      <c r="A82" s="69">
        <v>73</v>
      </c>
      <c r="B82" s="51" t="s">
        <v>176</v>
      </c>
      <c r="C82" s="51"/>
      <c r="D82" s="51"/>
      <c r="E82" s="51"/>
      <c r="F82" s="51"/>
      <c r="G82" s="51">
        <v>13</v>
      </c>
      <c r="H82" s="68">
        <v>597</v>
      </c>
      <c r="I82" s="51"/>
      <c r="J82" s="51"/>
      <c r="K82" s="51"/>
      <c r="L82" s="51"/>
      <c r="M82" s="51"/>
      <c r="N82" s="51"/>
      <c r="O82" s="51"/>
      <c r="P82" s="51"/>
      <c r="Q82" s="52">
        <f t="shared" si="2"/>
        <v>23.88</v>
      </c>
      <c r="R82" s="51"/>
      <c r="S82" s="51"/>
      <c r="T82" s="4"/>
    </row>
    <row r="83" spans="1:21">
      <c r="A83" s="69">
        <v>74</v>
      </c>
      <c r="B83" s="51" t="s">
        <v>193</v>
      </c>
      <c r="C83" s="51"/>
      <c r="D83" s="51"/>
      <c r="E83" s="51"/>
      <c r="F83" s="51"/>
      <c r="G83" s="51">
        <v>1</v>
      </c>
      <c r="H83" s="68">
        <v>167</v>
      </c>
      <c r="I83" s="51"/>
      <c r="J83" s="51"/>
      <c r="K83" s="51"/>
      <c r="L83" s="51"/>
      <c r="M83" s="51"/>
      <c r="N83" s="51"/>
      <c r="O83" s="51"/>
      <c r="P83" s="51"/>
      <c r="Q83" s="52">
        <f t="shared" si="2"/>
        <v>6.68</v>
      </c>
      <c r="R83" s="51"/>
      <c r="S83" s="51"/>
      <c r="T83" s="4"/>
    </row>
    <row r="84" spans="1:21">
      <c r="A84" s="69">
        <v>75</v>
      </c>
      <c r="B84" s="60" t="s">
        <v>206</v>
      </c>
      <c r="C84" s="51"/>
      <c r="D84" s="51"/>
      <c r="E84" s="51"/>
      <c r="F84" s="51"/>
      <c r="G84" s="51">
        <v>3</v>
      </c>
      <c r="H84" s="68">
        <v>794</v>
      </c>
      <c r="I84" s="51"/>
      <c r="J84" s="51"/>
      <c r="K84" s="51"/>
      <c r="L84" s="51"/>
      <c r="M84" s="51"/>
      <c r="N84" s="51"/>
      <c r="O84" s="51"/>
      <c r="P84" s="51"/>
      <c r="Q84" s="52">
        <f t="shared" si="2"/>
        <v>31.76</v>
      </c>
      <c r="R84" s="51"/>
      <c r="S84" s="51"/>
      <c r="T84" s="1" t="s">
        <v>268</v>
      </c>
    </row>
    <row r="85" spans="1:21" s="54" customFormat="1">
      <c r="A85" s="70" t="s">
        <v>251</v>
      </c>
      <c r="B85" s="53" t="s">
        <v>252</v>
      </c>
      <c r="C85" s="53"/>
      <c r="D85" s="53"/>
      <c r="E85" s="53"/>
      <c r="F85" s="53"/>
      <c r="G85" s="53">
        <f>SUM(G86:G143)</f>
        <v>727</v>
      </c>
      <c r="H85" s="67">
        <f>SUM(H86:H143)</f>
        <v>38332</v>
      </c>
      <c r="I85" s="53"/>
      <c r="J85" s="53"/>
      <c r="K85" s="53"/>
      <c r="L85" s="53"/>
      <c r="M85" s="53"/>
      <c r="N85" s="53"/>
      <c r="O85" s="53"/>
      <c r="P85" s="53"/>
      <c r="Q85" s="62">
        <f t="shared" ref="Q85" si="3">SUM(Q86:Q143)</f>
        <v>1533.2800000000004</v>
      </c>
      <c r="R85" s="53"/>
      <c r="S85" s="53"/>
      <c r="T85" s="53"/>
    </row>
    <row r="86" spans="1:21">
      <c r="A86" s="69">
        <v>1</v>
      </c>
      <c r="B86" s="59" t="s">
        <v>17</v>
      </c>
      <c r="C86" s="51"/>
      <c r="D86" s="51"/>
      <c r="E86" s="51"/>
      <c r="F86" s="51"/>
      <c r="G86" s="51">
        <v>24</v>
      </c>
      <c r="H86" s="68">
        <v>727</v>
      </c>
      <c r="I86" s="51"/>
      <c r="J86" s="51"/>
      <c r="K86" s="51"/>
      <c r="L86" s="51"/>
      <c r="M86" s="51"/>
      <c r="N86" s="51"/>
      <c r="O86" s="51"/>
      <c r="P86" s="51"/>
      <c r="Q86" s="52">
        <f>H86*0.04</f>
        <v>29.080000000000002</v>
      </c>
      <c r="R86" s="51"/>
      <c r="S86" s="51"/>
      <c r="T86" s="4"/>
    </row>
    <row r="87" spans="1:21">
      <c r="A87" s="69">
        <v>2</v>
      </c>
      <c r="B87" s="51" t="s">
        <v>58</v>
      </c>
      <c r="C87" s="51"/>
      <c r="D87" s="51"/>
      <c r="E87" s="51"/>
      <c r="F87" s="51"/>
      <c r="G87" s="51">
        <v>28</v>
      </c>
      <c r="H87" s="68">
        <v>1106</v>
      </c>
      <c r="I87" s="51"/>
      <c r="J87" s="51"/>
      <c r="K87" s="51"/>
      <c r="L87" s="51"/>
      <c r="M87" s="51"/>
      <c r="N87" s="51"/>
      <c r="O87" s="51"/>
      <c r="P87" s="51"/>
      <c r="Q87" s="52">
        <f t="shared" ref="Q87:Q143" si="4">H87*0.04</f>
        <v>44.24</v>
      </c>
      <c r="R87" s="51"/>
      <c r="S87" s="51"/>
      <c r="T87" s="4" t="s">
        <v>268</v>
      </c>
    </row>
    <row r="88" spans="1:21">
      <c r="A88" s="69">
        <v>3</v>
      </c>
      <c r="B88" s="51" t="s">
        <v>69</v>
      </c>
      <c r="C88" s="51"/>
      <c r="D88" s="51"/>
      <c r="E88" s="51"/>
      <c r="F88" s="51"/>
      <c r="G88" s="51">
        <v>2</v>
      </c>
      <c r="H88" s="68">
        <v>70</v>
      </c>
      <c r="I88" s="51"/>
      <c r="J88" s="51"/>
      <c r="K88" s="51"/>
      <c r="L88" s="51"/>
      <c r="M88" s="51"/>
      <c r="N88" s="51"/>
      <c r="O88" s="51"/>
      <c r="P88" s="51"/>
      <c r="Q88" s="52">
        <f t="shared" si="4"/>
        <v>2.8000000000000003</v>
      </c>
      <c r="R88" s="51"/>
      <c r="S88" s="51"/>
      <c r="T88" s="4" t="s">
        <v>267</v>
      </c>
    </row>
    <row r="89" spans="1:21">
      <c r="A89" s="69">
        <v>4</v>
      </c>
      <c r="B89" s="51" t="s">
        <v>70</v>
      </c>
      <c r="C89" s="51"/>
      <c r="D89" s="51"/>
      <c r="E89" s="51"/>
      <c r="F89" s="51"/>
      <c r="G89" s="51">
        <v>35</v>
      </c>
      <c r="H89" s="68">
        <v>3053</v>
      </c>
      <c r="I89" s="51"/>
      <c r="J89" s="51"/>
      <c r="K89" s="51"/>
      <c r="L89" s="51"/>
      <c r="M89" s="51"/>
      <c r="N89" s="51"/>
      <c r="O89" s="51"/>
      <c r="P89" s="51"/>
      <c r="Q89" s="52">
        <f t="shared" si="4"/>
        <v>122.12</v>
      </c>
      <c r="R89" s="51"/>
      <c r="S89" s="51"/>
      <c r="T89" s="4"/>
      <c r="U89" s="49">
        <f>G89*2</f>
        <v>70</v>
      </c>
    </row>
    <row r="90" spans="1:21">
      <c r="A90" s="69">
        <v>5</v>
      </c>
      <c r="B90" s="51" t="s">
        <v>71</v>
      </c>
      <c r="C90" s="51"/>
      <c r="D90" s="51"/>
      <c r="E90" s="51"/>
      <c r="F90" s="51"/>
      <c r="G90" s="51">
        <v>32</v>
      </c>
      <c r="H90" s="68">
        <v>2754</v>
      </c>
      <c r="I90" s="51"/>
      <c r="J90" s="51"/>
      <c r="K90" s="51"/>
      <c r="L90" s="51"/>
      <c r="M90" s="51"/>
      <c r="N90" s="51"/>
      <c r="O90" s="51"/>
      <c r="P90" s="51"/>
      <c r="Q90" s="52">
        <f t="shared" si="4"/>
        <v>110.16</v>
      </c>
      <c r="R90" s="51"/>
      <c r="S90" s="51"/>
      <c r="T90" s="4" t="s">
        <v>268</v>
      </c>
    </row>
    <row r="91" spans="1:21">
      <c r="A91" s="69">
        <v>6</v>
      </c>
      <c r="B91" s="51" t="s">
        <v>341</v>
      </c>
      <c r="C91" s="51"/>
      <c r="D91" s="51"/>
      <c r="E91" s="51"/>
      <c r="F91" s="51"/>
      <c r="G91" s="51">
        <v>1</v>
      </c>
      <c r="H91" s="68">
        <v>162</v>
      </c>
      <c r="I91" s="51"/>
      <c r="J91" s="51"/>
      <c r="K91" s="51"/>
      <c r="L91" s="51"/>
      <c r="M91" s="51"/>
      <c r="N91" s="51"/>
      <c r="O91" s="51"/>
      <c r="P91" s="51"/>
      <c r="Q91" s="52">
        <f t="shared" si="4"/>
        <v>6.48</v>
      </c>
      <c r="R91" s="51"/>
      <c r="S91" s="51"/>
      <c r="T91" s="4"/>
    </row>
    <row r="92" spans="1:21">
      <c r="A92" s="69">
        <v>7</v>
      </c>
      <c r="B92" s="51" t="s">
        <v>80</v>
      </c>
      <c r="C92" s="51"/>
      <c r="D92" s="51"/>
      <c r="E92" s="51"/>
      <c r="F92" s="51"/>
      <c r="G92" s="51">
        <v>17</v>
      </c>
      <c r="H92" s="68">
        <v>742</v>
      </c>
      <c r="I92" s="51"/>
      <c r="J92" s="51"/>
      <c r="K92" s="51"/>
      <c r="L92" s="51"/>
      <c r="M92" s="51"/>
      <c r="N92" s="51"/>
      <c r="O92" s="51"/>
      <c r="P92" s="51"/>
      <c r="Q92" s="52">
        <f t="shared" si="4"/>
        <v>29.68</v>
      </c>
      <c r="R92" s="51"/>
      <c r="S92" s="51"/>
      <c r="T92" s="4" t="s">
        <v>267</v>
      </c>
    </row>
    <row r="93" spans="1:21">
      <c r="A93" s="69">
        <v>8</v>
      </c>
      <c r="B93" s="51" t="s">
        <v>81</v>
      </c>
      <c r="C93" s="51"/>
      <c r="D93" s="51"/>
      <c r="E93" s="51"/>
      <c r="F93" s="51"/>
      <c r="G93" s="51">
        <v>4</v>
      </c>
      <c r="H93" s="68">
        <v>547</v>
      </c>
      <c r="I93" s="51"/>
      <c r="J93" s="51"/>
      <c r="K93" s="51"/>
      <c r="L93" s="51"/>
      <c r="M93" s="51"/>
      <c r="N93" s="51"/>
      <c r="O93" s="51"/>
      <c r="P93" s="51"/>
      <c r="Q93" s="52">
        <f t="shared" si="4"/>
        <v>21.88</v>
      </c>
      <c r="R93" s="51"/>
      <c r="S93" s="51"/>
      <c r="T93" s="4"/>
    </row>
    <row r="94" spans="1:21">
      <c r="A94" s="69">
        <v>9</v>
      </c>
      <c r="B94" s="51" t="s">
        <v>247</v>
      </c>
      <c r="C94" s="51"/>
      <c r="D94" s="51"/>
      <c r="E94" s="51"/>
      <c r="F94" s="51"/>
      <c r="G94" s="51">
        <v>1</v>
      </c>
      <c r="H94" s="68">
        <v>119</v>
      </c>
      <c r="I94" s="51"/>
      <c r="J94" s="51"/>
      <c r="K94" s="51"/>
      <c r="L94" s="51"/>
      <c r="M94" s="51"/>
      <c r="N94" s="51"/>
      <c r="O94" s="51"/>
      <c r="P94" s="51"/>
      <c r="Q94" s="52">
        <f t="shared" si="4"/>
        <v>4.76</v>
      </c>
      <c r="R94" s="51"/>
      <c r="S94" s="51"/>
      <c r="T94" s="4"/>
    </row>
    <row r="95" spans="1:21">
      <c r="A95" s="69">
        <v>10</v>
      </c>
      <c r="B95" s="51" t="s">
        <v>82</v>
      </c>
      <c r="C95" s="51"/>
      <c r="D95" s="51"/>
      <c r="E95" s="51"/>
      <c r="F95" s="51"/>
      <c r="G95" s="51">
        <v>24</v>
      </c>
      <c r="H95" s="68">
        <v>1206</v>
      </c>
      <c r="I95" s="51"/>
      <c r="J95" s="51"/>
      <c r="K95" s="51"/>
      <c r="L95" s="51"/>
      <c r="M95" s="51"/>
      <c r="N95" s="51"/>
      <c r="O95" s="51"/>
      <c r="P95" s="51"/>
      <c r="Q95" s="52">
        <f t="shared" si="4"/>
        <v>48.24</v>
      </c>
      <c r="R95" s="51"/>
      <c r="S95" s="51"/>
      <c r="T95" s="4" t="s">
        <v>268</v>
      </c>
    </row>
    <row r="96" spans="1:21">
      <c r="A96" s="69">
        <v>11</v>
      </c>
      <c r="B96" s="51" t="s">
        <v>83</v>
      </c>
      <c r="C96" s="51"/>
      <c r="D96" s="51"/>
      <c r="E96" s="51"/>
      <c r="F96" s="51"/>
      <c r="G96" s="51">
        <v>2</v>
      </c>
      <c r="H96" s="68">
        <v>144</v>
      </c>
      <c r="I96" s="51"/>
      <c r="J96" s="51"/>
      <c r="K96" s="51"/>
      <c r="L96" s="51"/>
      <c r="M96" s="51"/>
      <c r="N96" s="51"/>
      <c r="O96" s="51"/>
      <c r="P96" s="51"/>
      <c r="Q96" s="52">
        <f t="shared" si="4"/>
        <v>5.76</v>
      </c>
      <c r="R96" s="51"/>
      <c r="S96" s="51"/>
      <c r="T96" s="4" t="s">
        <v>267</v>
      </c>
    </row>
    <row r="97" spans="1:20">
      <c r="A97" s="69">
        <v>12</v>
      </c>
      <c r="B97" s="51" t="s">
        <v>96</v>
      </c>
      <c r="C97" s="51"/>
      <c r="D97" s="51"/>
      <c r="E97" s="51"/>
      <c r="F97" s="51"/>
      <c r="G97" s="51">
        <v>7</v>
      </c>
      <c r="H97" s="68">
        <v>529</v>
      </c>
      <c r="I97" s="51"/>
      <c r="J97" s="51"/>
      <c r="K97" s="51"/>
      <c r="L97" s="51"/>
      <c r="M97" s="51"/>
      <c r="N97" s="51"/>
      <c r="O97" s="51"/>
      <c r="P97" s="51"/>
      <c r="Q97" s="52">
        <f t="shared" si="4"/>
        <v>21.16</v>
      </c>
      <c r="R97" s="51"/>
      <c r="S97" s="51"/>
      <c r="T97" s="4" t="s">
        <v>267</v>
      </c>
    </row>
    <row r="98" spans="1:20">
      <c r="A98" s="69">
        <v>13</v>
      </c>
      <c r="B98" s="51" t="s">
        <v>356</v>
      </c>
      <c r="C98" s="51"/>
      <c r="D98" s="51"/>
      <c r="E98" s="51"/>
      <c r="F98" s="51"/>
      <c r="G98" s="51">
        <v>1</v>
      </c>
      <c r="H98" s="68">
        <v>88</v>
      </c>
      <c r="I98" s="51"/>
      <c r="J98" s="51"/>
      <c r="K98" s="51"/>
      <c r="L98" s="51"/>
      <c r="M98" s="51"/>
      <c r="N98" s="51"/>
      <c r="O98" s="51"/>
      <c r="P98" s="51"/>
      <c r="Q98" s="52">
        <f t="shared" si="4"/>
        <v>3.52</v>
      </c>
      <c r="R98" s="51"/>
      <c r="S98" s="51"/>
      <c r="T98" s="4"/>
    </row>
    <row r="99" spans="1:20">
      <c r="A99" s="69">
        <v>14</v>
      </c>
      <c r="B99" s="51" t="s">
        <v>97</v>
      </c>
      <c r="C99" s="51"/>
      <c r="D99" s="51"/>
      <c r="E99" s="51"/>
      <c r="F99" s="51"/>
      <c r="G99" s="51">
        <v>11</v>
      </c>
      <c r="H99" s="68">
        <v>128</v>
      </c>
      <c r="I99" s="51"/>
      <c r="J99" s="51"/>
      <c r="K99" s="51"/>
      <c r="L99" s="51"/>
      <c r="M99" s="51"/>
      <c r="N99" s="51"/>
      <c r="O99" s="51"/>
      <c r="P99" s="51"/>
      <c r="Q99" s="52">
        <f t="shared" si="4"/>
        <v>5.12</v>
      </c>
      <c r="R99" s="51"/>
      <c r="S99" s="51"/>
      <c r="T99" s="4"/>
    </row>
    <row r="100" spans="1:20">
      <c r="A100" s="69">
        <v>15</v>
      </c>
      <c r="B100" s="51" t="s">
        <v>146</v>
      </c>
      <c r="C100" s="51"/>
      <c r="D100" s="51"/>
      <c r="E100" s="51"/>
      <c r="F100" s="51"/>
      <c r="G100" s="51">
        <v>2</v>
      </c>
      <c r="H100" s="68">
        <v>148</v>
      </c>
      <c r="I100" s="51"/>
      <c r="J100" s="51"/>
      <c r="K100" s="51"/>
      <c r="L100" s="51"/>
      <c r="M100" s="51"/>
      <c r="N100" s="51"/>
      <c r="O100" s="51"/>
      <c r="P100" s="51"/>
      <c r="Q100" s="52">
        <f t="shared" si="4"/>
        <v>5.92</v>
      </c>
      <c r="R100" s="51"/>
      <c r="S100" s="51"/>
      <c r="T100" s="4" t="s">
        <v>267</v>
      </c>
    </row>
    <row r="101" spans="1:20">
      <c r="A101" s="69">
        <v>16</v>
      </c>
      <c r="B101" s="51" t="s">
        <v>120</v>
      </c>
      <c r="C101" s="51"/>
      <c r="D101" s="51"/>
      <c r="E101" s="51"/>
      <c r="F101" s="51"/>
      <c r="G101" s="51">
        <v>1</v>
      </c>
      <c r="H101" s="68">
        <v>210</v>
      </c>
      <c r="I101" s="51"/>
      <c r="J101" s="51"/>
      <c r="K101" s="51"/>
      <c r="L101" s="51"/>
      <c r="M101" s="51"/>
      <c r="N101" s="51"/>
      <c r="O101" s="51"/>
      <c r="P101" s="51"/>
      <c r="Q101" s="52">
        <f t="shared" si="4"/>
        <v>8.4</v>
      </c>
      <c r="R101" s="51"/>
      <c r="S101" s="51"/>
      <c r="T101" s="4"/>
    </row>
    <row r="102" spans="1:20">
      <c r="A102" s="69">
        <v>17</v>
      </c>
      <c r="B102" s="51" t="s">
        <v>343</v>
      </c>
      <c r="C102" s="51"/>
      <c r="D102" s="51"/>
      <c r="E102" s="51"/>
      <c r="F102" s="51"/>
      <c r="G102" s="51">
        <v>2</v>
      </c>
      <c r="H102" s="68">
        <v>144</v>
      </c>
      <c r="I102" s="51"/>
      <c r="J102" s="51"/>
      <c r="K102" s="51"/>
      <c r="L102" s="51"/>
      <c r="M102" s="51"/>
      <c r="N102" s="51"/>
      <c r="O102" s="51"/>
      <c r="P102" s="51"/>
      <c r="Q102" s="52">
        <f t="shared" si="4"/>
        <v>5.76</v>
      </c>
      <c r="R102" s="51"/>
      <c r="S102" s="51"/>
      <c r="T102" s="4"/>
    </row>
    <row r="103" spans="1:20">
      <c r="A103" s="69">
        <v>18</v>
      </c>
      <c r="B103" s="60" t="s">
        <v>121</v>
      </c>
      <c r="C103" s="51"/>
      <c r="D103" s="51"/>
      <c r="E103" s="51"/>
      <c r="F103" s="51"/>
      <c r="G103" s="51">
        <v>16</v>
      </c>
      <c r="H103" s="68">
        <v>262</v>
      </c>
      <c r="I103" s="51"/>
      <c r="J103" s="51"/>
      <c r="K103" s="51"/>
      <c r="L103" s="51"/>
      <c r="M103" s="51"/>
      <c r="N103" s="51"/>
      <c r="O103" s="51"/>
      <c r="P103" s="51"/>
      <c r="Q103" s="52">
        <f t="shared" si="4"/>
        <v>10.48</v>
      </c>
      <c r="R103" s="51"/>
      <c r="S103" s="51"/>
      <c r="T103" s="7"/>
    </row>
    <row r="104" spans="1:20">
      <c r="A104" s="69">
        <v>19</v>
      </c>
      <c r="B104" s="51" t="s">
        <v>122</v>
      </c>
      <c r="C104" s="51"/>
      <c r="D104" s="51"/>
      <c r="E104" s="51"/>
      <c r="F104" s="51"/>
      <c r="G104" s="51">
        <v>13</v>
      </c>
      <c r="H104" s="68">
        <v>473</v>
      </c>
      <c r="I104" s="51"/>
      <c r="J104" s="51"/>
      <c r="K104" s="51"/>
      <c r="L104" s="51"/>
      <c r="M104" s="51"/>
      <c r="N104" s="51"/>
      <c r="O104" s="51"/>
      <c r="P104" s="51"/>
      <c r="Q104" s="52">
        <f t="shared" si="4"/>
        <v>18.920000000000002</v>
      </c>
      <c r="R104" s="51"/>
      <c r="S104" s="51"/>
      <c r="T104" s="4" t="s">
        <v>267</v>
      </c>
    </row>
    <row r="105" spans="1:20">
      <c r="A105" s="69">
        <v>20</v>
      </c>
      <c r="B105" s="51" t="s">
        <v>123</v>
      </c>
      <c r="C105" s="51"/>
      <c r="D105" s="51"/>
      <c r="E105" s="51"/>
      <c r="F105" s="51"/>
      <c r="G105" s="51">
        <v>7</v>
      </c>
      <c r="H105" s="68">
        <v>164</v>
      </c>
      <c r="I105" s="51"/>
      <c r="J105" s="51"/>
      <c r="K105" s="51"/>
      <c r="L105" s="51"/>
      <c r="M105" s="51"/>
      <c r="N105" s="51"/>
      <c r="O105" s="51"/>
      <c r="P105" s="51"/>
      <c r="Q105" s="52">
        <f t="shared" si="4"/>
        <v>6.5600000000000005</v>
      </c>
      <c r="R105" s="51"/>
      <c r="S105" s="51"/>
      <c r="T105" s="4" t="s">
        <v>267</v>
      </c>
    </row>
    <row r="106" spans="1:20">
      <c r="A106" s="69">
        <v>21</v>
      </c>
      <c r="B106" s="51" t="s">
        <v>124</v>
      </c>
      <c r="C106" s="51"/>
      <c r="D106" s="51"/>
      <c r="E106" s="51"/>
      <c r="F106" s="51"/>
      <c r="G106" s="51">
        <v>2</v>
      </c>
      <c r="H106" s="68">
        <v>85</v>
      </c>
      <c r="I106" s="51"/>
      <c r="J106" s="51"/>
      <c r="K106" s="51"/>
      <c r="L106" s="51"/>
      <c r="M106" s="51"/>
      <c r="N106" s="51"/>
      <c r="O106" s="51"/>
      <c r="P106" s="51"/>
      <c r="Q106" s="52">
        <f t="shared" si="4"/>
        <v>3.4</v>
      </c>
      <c r="R106" s="51"/>
      <c r="S106" s="51"/>
      <c r="T106" s="4"/>
    </row>
    <row r="107" spans="1:20">
      <c r="A107" s="69">
        <v>22</v>
      </c>
      <c r="B107" s="51" t="s">
        <v>144</v>
      </c>
      <c r="C107" s="51"/>
      <c r="D107" s="51"/>
      <c r="E107" s="51"/>
      <c r="F107" s="51"/>
      <c r="G107" s="51">
        <v>1</v>
      </c>
      <c r="H107" s="68">
        <v>101</v>
      </c>
      <c r="I107" s="51"/>
      <c r="J107" s="51"/>
      <c r="K107" s="51"/>
      <c r="L107" s="51"/>
      <c r="M107" s="51"/>
      <c r="N107" s="51"/>
      <c r="O107" s="51"/>
      <c r="P107" s="51"/>
      <c r="Q107" s="52">
        <f t="shared" si="4"/>
        <v>4.04</v>
      </c>
      <c r="R107" s="51"/>
      <c r="S107" s="51"/>
      <c r="T107" s="4"/>
    </row>
    <row r="108" spans="1:20">
      <c r="A108" s="69">
        <v>23</v>
      </c>
      <c r="B108" s="4" t="s">
        <v>346</v>
      </c>
      <c r="C108" s="51"/>
      <c r="D108" s="51"/>
      <c r="E108" s="51"/>
      <c r="F108" s="51"/>
      <c r="G108" s="51">
        <v>15</v>
      </c>
      <c r="H108" s="68">
        <v>599</v>
      </c>
      <c r="I108" s="51"/>
      <c r="J108" s="51"/>
      <c r="K108" s="51"/>
      <c r="L108" s="51"/>
      <c r="M108" s="51"/>
      <c r="N108" s="51"/>
      <c r="O108" s="51"/>
      <c r="P108" s="51"/>
      <c r="Q108" s="52">
        <f t="shared" si="4"/>
        <v>23.96</v>
      </c>
      <c r="R108" s="51"/>
      <c r="S108" s="51"/>
      <c r="T108" s="4" t="s">
        <v>267</v>
      </c>
    </row>
    <row r="109" spans="1:20">
      <c r="A109" s="69">
        <v>24</v>
      </c>
      <c r="B109" s="51" t="s">
        <v>145</v>
      </c>
      <c r="C109" s="51"/>
      <c r="D109" s="51"/>
      <c r="E109" s="51"/>
      <c r="F109" s="51"/>
      <c r="G109" s="51">
        <v>42</v>
      </c>
      <c r="H109" s="68">
        <v>1085</v>
      </c>
      <c r="I109" s="51"/>
      <c r="J109" s="51"/>
      <c r="K109" s="51"/>
      <c r="L109" s="51"/>
      <c r="M109" s="51"/>
      <c r="N109" s="51"/>
      <c r="O109" s="51"/>
      <c r="P109" s="51"/>
      <c r="Q109" s="52">
        <f t="shared" si="4"/>
        <v>43.4</v>
      </c>
      <c r="R109" s="51"/>
      <c r="S109" s="51"/>
      <c r="T109" s="4"/>
    </row>
    <row r="110" spans="1:20">
      <c r="A110" s="69">
        <v>25</v>
      </c>
      <c r="B110" s="51" t="s">
        <v>151</v>
      </c>
      <c r="C110" s="51"/>
      <c r="D110" s="51"/>
      <c r="E110" s="51"/>
      <c r="F110" s="51"/>
      <c r="G110" s="51">
        <v>38</v>
      </c>
      <c r="H110" s="68">
        <v>4018</v>
      </c>
      <c r="I110" s="51"/>
      <c r="J110" s="51"/>
      <c r="K110" s="51"/>
      <c r="L110" s="51"/>
      <c r="M110" s="51"/>
      <c r="N110" s="51"/>
      <c r="O110" s="51"/>
      <c r="P110" s="51"/>
      <c r="Q110" s="52">
        <f t="shared" si="4"/>
        <v>160.72</v>
      </c>
      <c r="R110" s="51"/>
      <c r="S110" s="51"/>
      <c r="T110" s="4"/>
    </row>
    <row r="111" spans="1:20">
      <c r="A111" s="69">
        <v>26</v>
      </c>
      <c r="B111" s="51" t="s">
        <v>157</v>
      </c>
      <c r="C111" s="51"/>
      <c r="D111" s="51"/>
      <c r="E111" s="51"/>
      <c r="F111" s="51"/>
      <c r="G111" s="51">
        <v>46</v>
      </c>
      <c r="H111" s="68">
        <v>1404</v>
      </c>
      <c r="I111" s="51"/>
      <c r="J111" s="51"/>
      <c r="K111" s="51"/>
      <c r="L111" s="51"/>
      <c r="M111" s="51"/>
      <c r="N111" s="51"/>
      <c r="O111" s="51"/>
      <c r="P111" s="51"/>
      <c r="Q111" s="52">
        <f t="shared" si="4"/>
        <v>56.160000000000004</v>
      </c>
      <c r="R111" s="51"/>
      <c r="S111" s="51"/>
      <c r="T111" s="4" t="s">
        <v>268</v>
      </c>
    </row>
    <row r="112" spans="1:20">
      <c r="A112" s="69">
        <v>27</v>
      </c>
      <c r="B112" s="51" t="s">
        <v>158</v>
      </c>
      <c r="C112" s="51"/>
      <c r="D112" s="51"/>
      <c r="E112" s="51"/>
      <c r="F112" s="51"/>
      <c r="G112" s="51">
        <v>24</v>
      </c>
      <c r="H112" s="68">
        <v>367</v>
      </c>
      <c r="I112" s="51"/>
      <c r="J112" s="51"/>
      <c r="K112" s="51"/>
      <c r="L112" s="51"/>
      <c r="M112" s="51"/>
      <c r="N112" s="51"/>
      <c r="O112" s="51"/>
      <c r="P112" s="51"/>
      <c r="Q112" s="52">
        <f t="shared" si="4"/>
        <v>14.68</v>
      </c>
      <c r="R112" s="51"/>
      <c r="S112" s="51"/>
      <c r="T112" s="4" t="s">
        <v>267</v>
      </c>
    </row>
    <row r="113" spans="1:20">
      <c r="A113" s="69">
        <v>28</v>
      </c>
      <c r="B113" s="51" t="s">
        <v>159</v>
      </c>
      <c r="C113" s="51"/>
      <c r="D113" s="51"/>
      <c r="E113" s="51"/>
      <c r="F113" s="51"/>
      <c r="G113" s="51">
        <v>2</v>
      </c>
      <c r="H113" s="68">
        <v>49</v>
      </c>
      <c r="I113" s="51"/>
      <c r="J113" s="51"/>
      <c r="K113" s="51"/>
      <c r="L113" s="51"/>
      <c r="M113" s="51"/>
      <c r="N113" s="51"/>
      <c r="O113" s="51"/>
      <c r="P113" s="51"/>
      <c r="Q113" s="52">
        <f t="shared" si="4"/>
        <v>1.96</v>
      </c>
      <c r="R113" s="51"/>
      <c r="S113" s="51"/>
      <c r="T113" s="4"/>
    </row>
    <row r="114" spans="1:20">
      <c r="A114" s="69">
        <v>29</v>
      </c>
      <c r="B114" s="51" t="s">
        <v>347</v>
      </c>
      <c r="C114" s="51"/>
      <c r="D114" s="51"/>
      <c r="E114" s="51"/>
      <c r="F114" s="51"/>
      <c r="G114" s="51">
        <v>2</v>
      </c>
      <c r="H114" s="68">
        <v>168</v>
      </c>
      <c r="I114" s="51"/>
      <c r="J114" s="51"/>
      <c r="K114" s="51"/>
      <c r="L114" s="51"/>
      <c r="M114" s="51"/>
      <c r="N114" s="51"/>
      <c r="O114" s="51"/>
      <c r="P114" s="51"/>
      <c r="Q114" s="52">
        <f t="shared" si="4"/>
        <v>6.72</v>
      </c>
      <c r="R114" s="51"/>
      <c r="S114" s="51"/>
      <c r="T114" s="4"/>
    </row>
    <row r="115" spans="1:20">
      <c r="A115" s="69">
        <v>30</v>
      </c>
      <c r="B115" s="51" t="s">
        <v>162</v>
      </c>
      <c r="C115" s="51"/>
      <c r="D115" s="51"/>
      <c r="E115" s="51"/>
      <c r="F115" s="51"/>
      <c r="G115" s="51">
        <v>17</v>
      </c>
      <c r="H115" s="68">
        <v>602</v>
      </c>
      <c r="I115" s="51"/>
      <c r="J115" s="51"/>
      <c r="K115" s="51"/>
      <c r="L115" s="51"/>
      <c r="M115" s="51"/>
      <c r="N115" s="51"/>
      <c r="O115" s="51"/>
      <c r="P115" s="51"/>
      <c r="Q115" s="52">
        <f t="shared" si="4"/>
        <v>24.080000000000002</v>
      </c>
      <c r="R115" s="51"/>
      <c r="S115" s="51"/>
      <c r="T115" s="4" t="s">
        <v>268</v>
      </c>
    </row>
    <row r="116" spans="1:20">
      <c r="A116" s="69">
        <v>31</v>
      </c>
      <c r="B116" s="51" t="s">
        <v>163</v>
      </c>
      <c r="C116" s="51"/>
      <c r="D116" s="51"/>
      <c r="E116" s="51"/>
      <c r="F116" s="51"/>
      <c r="G116" s="51">
        <v>39</v>
      </c>
      <c r="H116" s="68">
        <v>1265</v>
      </c>
      <c r="I116" s="51"/>
      <c r="J116" s="51"/>
      <c r="K116" s="51"/>
      <c r="L116" s="51"/>
      <c r="M116" s="51"/>
      <c r="N116" s="51"/>
      <c r="O116" s="51"/>
      <c r="P116" s="51"/>
      <c r="Q116" s="52">
        <f t="shared" si="4"/>
        <v>50.6</v>
      </c>
      <c r="R116" s="51"/>
      <c r="S116" s="51"/>
      <c r="T116" s="4"/>
    </row>
    <row r="117" spans="1:20">
      <c r="A117" s="69">
        <v>32</v>
      </c>
      <c r="B117" s="51" t="s">
        <v>164</v>
      </c>
      <c r="C117" s="51"/>
      <c r="D117" s="51"/>
      <c r="E117" s="51"/>
      <c r="F117" s="51"/>
      <c r="G117" s="51">
        <v>10</v>
      </c>
      <c r="H117" s="68">
        <v>555</v>
      </c>
      <c r="I117" s="51"/>
      <c r="J117" s="51"/>
      <c r="K117" s="51"/>
      <c r="L117" s="51"/>
      <c r="M117" s="51"/>
      <c r="N117" s="51"/>
      <c r="O117" s="51"/>
      <c r="P117" s="51"/>
      <c r="Q117" s="52">
        <f t="shared" si="4"/>
        <v>22.2</v>
      </c>
      <c r="R117" s="51"/>
      <c r="S117" s="51"/>
      <c r="T117" s="4" t="s">
        <v>272</v>
      </c>
    </row>
    <row r="118" spans="1:20">
      <c r="A118" s="69">
        <v>33</v>
      </c>
      <c r="B118" s="51" t="s">
        <v>165</v>
      </c>
      <c r="C118" s="51"/>
      <c r="D118" s="51"/>
      <c r="E118" s="51"/>
      <c r="F118" s="51"/>
      <c r="G118" s="51">
        <v>11</v>
      </c>
      <c r="H118" s="68">
        <v>772</v>
      </c>
      <c r="I118" s="51"/>
      <c r="J118" s="51"/>
      <c r="K118" s="51"/>
      <c r="L118" s="51"/>
      <c r="M118" s="51"/>
      <c r="N118" s="51"/>
      <c r="O118" s="51"/>
      <c r="P118" s="51"/>
      <c r="Q118" s="52">
        <f t="shared" si="4"/>
        <v>30.88</v>
      </c>
      <c r="R118" s="51"/>
      <c r="S118" s="51"/>
      <c r="T118" s="4"/>
    </row>
    <row r="119" spans="1:20">
      <c r="A119" s="69">
        <v>34</v>
      </c>
      <c r="B119" s="51" t="s">
        <v>349</v>
      </c>
      <c r="C119" s="51"/>
      <c r="D119" s="51"/>
      <c r="E119" s="51"/>
      <c r="F119" s="51"/>
      <c r="G119" s="51">
        <v>15</v>
      </c>
      <c r="H119" s="68">
        <v>1191</v>
      </c>
      <c r="I119" s="51"/>
      <c r="J119" s="51"/>
      <c r="K119" s="51"/>
      <c r="L119" s="51"/>
      <c r="M119" s="51"/>
      <c r="N119" s="51"/>
      <c r="O119" s="51"/>
      <c r="P119" s="51"/>
      <c r="Q119" s="52">
        <f t="shared" si="4"/>
        <v>47.64</v>
      </c>
      <c r="R119" s="51"/>
      <c r="S119" s="51"/>
      <c r="T119" s="4" t="s">
        <v>267</v>
      </c>
    </row>
    <row r="120" spans="1:20">
      <c r="A120" s="69">
        <v>35</v>
      </c>
      <c r="B120" s="51" t="s">
        <v>166</v>
      </c>
      <c r="C120" s="51"/>
      <c r="D120" s="51"/>
      <c r="E120" s="51"/>
      <c r="F120" s="51"/>
      <c r="G120" s="51">
        <v>6</v>
      </c>
      <c r="H120" s="68">
        <v>747</v>
      </c>
      <c r="I120" s="51"/>
      <c r="J120" s="51"/>
      <c r="K120" s="51"/>
      <c r="L120" s="51"/>
      <c r="M120" s="51"/>
      <c r="N120" s="51"/>
      <c r="O120" s="51"/>
      <c r="P120" s="51"/>
      <c r="Q120" s="52">
        <f t="shared" si="4"/>
        <v>29.88</v>
      </c>
      <c r="R120" s="51"/>
      <c r="S120" s="51"/>
      <c r="T120" s="4"/>
    </row>
    <row r="121" spans="1:20">
      <c r="A121" s="69">
        <v>36</v>
      </c>
      <c r="B121" s="51" t="s">
        <v>350</v>
      </c>
      <c r="C121" s="51"/>
      <c r="D121" s="51"/>
      <c r="E121" s="51"/>
      <c r="F121" s="51"/>
      <c r="G121" s="51">
        <v>9</v>
      </c>
      <c r="H121" s="68">
        <v>1014</v>
      </c>
      <c r="I121" s="51"/>
      <c r="J121" s="51"/>
      <c r="K121" s="51"/>
      <c r="L121" s="51"/>
      <c r="M121" s="51"/>
      <c r="N121" s="51"/>
      <c r="O121" s="51"/>
      <c r="P121" s="51"/>
      <c r="Q121" s="52">
        <f t="shared" si="4"/>
        <v>40.56</v>
      </c>
      <c r="R121" s="51"/>
      <c r="S121" s="51"/>
      <c r="T121" s="4"/>
    </row>
    <row r="122" spans="1:20">
      <c r="A122" s="69">
        <v>37</v>
      </c>
      <c r="B122" s="51" t="s">
        <v>171</v>
      </c>
      <c r="C122" s="51"/>
      <c r="D122" s="51"/>
      <c r="E122" s="51"/>
      <c r="F122" s="51"/>
      <c r="G122" s="51">
        <v>11</v>
      </c>
      <c r="H122" s="68">
        <v>441</v>
      </c>
      <c r="I122" s="51"/>
      <c r="J122" s="51"/>
      <c r="K122" s="51"/>
      <c r="L122" s="51"/>
      <c r="M122" s="51"/>
      <c r="N122" s="51"/>
      <c r="O122" s="51"/>
      <c r="P122" s="51"/>
      <c r="Q122" s="52">
        <f t="shared" si="4"/>
        <v>17.64</v>
      </c>
      <c r="R122" s="51"/>
      <c r="S122" s="51"/>
      <c r="T122" s="4" t="s">
        <v>267</v>
      </c>
    </row>
    <row r="123" spans="1:20">
      <c r="A123" s="69">
        <v>38</v>
      </c>
      <c r="B123" s="51" t="s">
        <v>172</v>
      </c>
      <c r="C123" s="51"/>
      <c r="D123" s="51"/>
      <c r="E123" s="51"/>
      <c r="F123" s="51"/>
      <c r="G123" s="51">
        <v>30</v>
      </c>
      <c r="H123" s="68">
        <v>610</v>
      </c>
      <c r="I123" s="51"/>
      <c r="J123" s="51"/>
      <c r="K123" s="51"/>
      <c r="L123" s="51"/>
      <c r="M123" s="51"/>
      <c r="N123" s="51"/>
      <c r="O123" s="51"/>
      <c r="P123" s="51"/>
      <c r="Q123" s="52">
        <f t="shared" si="4"/>
        <v>24.400000000000002</v>
      </c>
      <c r="R123" s="51"/>
      <c r="S123" s="51"/>
      <c r="T123" s="4" t="s">
        <v>269</v>
      </c>
    </row>
    <row r="124" spans="1:20">
      <c r="A124" s="69">
        <v>39</v>
      </c>
      <c r="B124" s="51" t="s">
        <v>173</v>
      </c>
      <c r="C124" s="51"/>
      <c r="D124" s="51"/>
      <c r="E124" s="51"/>
      <c r="F124" s="51"/>
      <c r="G124" s="51">
        <v>13</v>
      </c>
      <c r="H124" s="68">
        <v>963</v>
      </c>
      <c r="I124" s="51"/>
      <c r="J124" s="51"/>
      <c r="K124" s="51"/>
      <c r="L124" s="51"/>
      <c r="M124" s="51"/>
      <c r="N124" s="51"/>
      <c r="O124" s="51"/>
      <c r="P124" s="51"/>
      <c r="Q124" s="52">
        <f t="shared" si="4"/>
        <v>38.520000000000003</v>
      </c>
      <c r="R124" s="51"/>
      <c r="S124" s="51"/>
      <c r="T124" s="7" t="s">
        <v>360</v>
      </c>
    </row>
    <row r="125" spans="1:20">
      <c r="A125" s="69">
        <v>40</v>
      </c>
      <c r="B125" s="51" t="s">
        <v>174</v>
      </c>
      <c r="C125" s="51"/>
      <c r="D125" s="51"/>
      <c r="E125" s="51"/>
      <c r="F125" s="51"/>
      <c r="G125" s="51">
        <v>2</v>
      </c>
      <c r="H125" s="68">
        <v>150</v>
      </c>
      <c r="I125" s="51"/>
      <c r="J125" s="51"/>
      <c r="K125" s="51"/>
      <c r="L125" s="51"/>
      <c r="M125" s="51"/>
      <c r="N125" s="51"/>
      <c r="O125" s="51"/>
      <c r="P125" s="51"/>
      <c r="Q125" s="52">
        <f t="shared" si="4"/>
        <v>6</v>
      </c>
      <c r="R125" s="51"/>
      <c r="S125" s="51"/>
      <c r="T125" s="4"/>
    </row>
    <row r="126" spans="1:20">
      <c r="A126" s="69">
        <v>41</v>
      </c>
      <c r="B126" s="51" t="s">
        <v>175</v>
      </c>
      <c r="C126" s="51"/>
      <c r="D126" s="51"/>
      <c r="E126" s="51"/>
      <c r="F126" s="51"/>
      <c r="G126" s="51">
        <v>64</v>
      </c>
      <c r="H126" s="68">
        <v>3656</v>
      </c>
      <c r="I126" s="51"/>
      <c r="J126" s="51"/>
      <c r="K126" s="51"/>
      <c r="L126" s="51"/>
      <c r="M126" s="51"/>
      <c r="N126" s="51"/>
      <c r="O126" s="51"/>
      <c r="P126" s="51"/>
      <c r="Q126" s="52">
        <f t="shared" si="4"/>
        <v>146.24</v>
      </c>
      <c r="R126" s="51"/>
      <c r="S126" s="51"/>
      <c r="T126" s="4" t="s">
        <v>267</v>
      </c>
    </row>
    <row r="127" spans="1:20">
      <c r="A127" s="69">
        <v>42</v>
      </c>
      <c r="B127" s="51" t="s">
        <v>244</v>
      </c>
      <c r="C127" s="51"/>
      <c r="D127" s="51"/>
      <c r="E127" s="51"/>
      <c r="F127" s="51"/>
      <c r="G127" s="51">
        <v>1</v>
      </c>
      <c r="H127" s="68">
        <v>74</v>
      </c>
      <c r="I127" s="51"/>
      <c r="J127" s="51"/>
      <c r="K127" s="51"/>
      <c r="L127" s="51"/>
      <c r="M127" s="51"/>
      <c r="N127" s="51"/>
      <c r="O127" s="51"/>
      <c r="P127" s="51"/>
      <c r="Q127" s="52">
        <f t="shared" si="4"/>
        <v>2.96</v>
      </c>
      <c r="R127" s="51"/>
      <c r="S127" s="51"/>
      <c r="T127" s="7" t="s">
        <v>272</v>
      </c>
    </row>
    <row r="128" spans="1:20">
      <c r="A128" s="69">
        <v>43</v>
      </c>
      <c r="B128" s="51" t="s">
        <v>182</v>
      </c>
      <c r="C128" s="51"/>
      <c r="D128" s="51"/>
      <c r="E128" s="51"/>
      <c r="F128" s="51"/>
      <c r="G128" s="51">
        <v>1</v>
      </c>
      <c r="H128" s="68">
        <v>41</v>
      </c>
      <c r="I128" s="51"/>
      <c r="J128" s="51"/>
      <c r="K128" s="51"/>
      <c r="L128" s="51"/>
      <c r="M128" s="51"/>
      <c r="N128" s="51"/>
      <c r="O128" s="51"/>
      <c r="P128" s="51"/>
      <c r="Q128" s="52">
        <f t="shared" si="4"/>
        <v>1.6400000000000001</v>
      </c>
      <c r="R128" s="51"/>
      <c r="S128" s="51"/>
      <c r="T128" s="4"/>
    </row>
    <row r="129" spans="1:20">
      <c r="A129" s="69">
        <v>44</v>
      </c>
      <c r="B129" s="51" t="s">
        <v>351</v>
      </c>
      <c r="C129" s="51"/>
      <c r="D129" s="51"/>
      <c r="E129" s="51"/>
      <c r="F129" s="51"/>
      <c r="G129" s="51">
        <v>13</v>
      </c>
      <c r="H129" s="68">
        <v>332</v>
      </c>
      <c r="I129" s="51"/>
      <c r="J129" s="51"/>
      <c r="K129" s="51"/>
      <c r="L129" s="51"/>
      <c r="M129" s="51"/>
      <c r="N129" s="51"/>
      <c r="O129" s="51"/>
      <c r="P129" s="51"/>
      <c r="Q129" s="52">
        <f t="shared" si="4"/>
        <v>13.280000000000001</v>
      </c>
      <c r="R129" s="51"/>
      <c r="S129" s="51"/>
      <c r="T129" s="7"/>
    </row>
    <row r="130" spans="1:20">
      <c r="A130" s="69">
        <v>45</v>
      </c>
      <c r="B130" s="51" t="s">
        <v>186</v>
      </c>
      <c r="C130" s="51"/>
      <c r="D130" s="51"/>
      <c r="E130" s="51"/>
      <c r="F130" s="51"/>
      <c r="G130" s="51">
        <v>3</v>
      </c>
      <c r="H130" s="68">
        <v>227</v>
      </c>
      <c r="I130" s="51"/>
      <c r="J130" s="51"/>
      <c r="K130" s="51"/>
      <c r="L130" s="51"/>
      <c r="M130" s="51"/>
      <c r="N130" s="51"/>
      <c r="O130" s="51"/>
      <c r="P130" s="51"/>
      <c r="Q130" s="52">
        <f t="shared" si="4"/>
        <v>9.08</v>
      </c>
      <c r="R130" s="51"/>
      <c r="S130" s="51"/>
      <c r="T130" s="4"/>
    </row>
    <row r="131" spans="1:20">
      <c r="A131" s="69">
        <v>46</v>
      </c>
      <c r="B131" s="51" t="s">
        <v>352</v>
      </c>
      <c r="C131" s="51"/>
      <c r="D131" s="51"/>
      <c r="E131" s="51"/>
      <c r="F131" s="51"/>
      <c r="G131" s="51">
        <v>6</v>
      </c>
      <c r="H131" s="68">
        <v>166</v>
      </c>
      <c r="I131" s="51"/>
      <c r="J131" s="51"/>
      <c r="K131" s="51"/>
      <c r="L131" s="51"/>
      <c r="M131" s="51"/>
      <c r="N131" s="51"/>
      <c r="O131" s="51"/>
      <c r="P131" s="51"/>
      <c r="Q131" s="52">
        <f t="shared" si="4"/>
        <v>6.6400000000000006</v>
      </c>
      <c r="R131" s="51"/>
      <c r="S131" s="51"/>
      <c r="T131" s="4"/>
    </row>
    <row r="132" spans="1:20">
      <c r="A132" s="69">
        <v>47</v>
      </c>
      <c r="B132" s="51" t="s">
        <v>195</v>
      </c>
      <c r="C132" s="51"/>
      <c r="D132" s="51"/>
      <c r="E132" s="51"/>
      <c r="F132" s="51"/>
      <c r="G132" s="51">
        <v>9</v>
      </c>
      <c r="H132" s="68">
        <v>384</v>
      </c>
      <c r="I132" s="51"/>
      <c r="J132" s="51"/>
      <c r="K132" s="51"/>
      <c r="L132" s="51"/>
      <c r="M132" s="51"/>
      <c r="N132" s="51"/>
      <c r="O132" s="51"/>
      <c r="P132" s="51"/>
      <c r="Q132" s="52">
        <f t="shared" si="4"/>
        <v>15.36</v>
      </c>
      <c r="R132" s="51"/>
      <c r="S132" s="51"/>
      <c r="T132" s="7" t="s">
        <v>272</v>
      </c>
    </row>
    <row r="133" spans="1:20">
      <c r="A133" s="69">
        <v>48</v>
      </c>
      <c r="B133" s="51" t="s">
        <v>196</v>
      </c>
      <c r="C133" s="51"/>
      <c r="D133" s="51"/>
      <c r="E133" s="51"/>
      <c r="F133" s="51"/>
      <c r="G133" s="51">
        <v>1</v>
      </c>
      <c r="H133" s="68">
        <v>151</v>
      </c>
      <c r="I133" s="51"/>
      <c r="J133" s="51"/>
      <c r="K133" s="51"/>
      <c r="L133" s="51"/>
      <c r="M133" s="51"/>
      <c r="N133" s="51"/>
      <c r="O133" s="51"/>
      <c r="P133" s="51"/>
      <c r="Q133" s="52">
        <f t="shared" si="4"/>
        <v>6.04</v>
      </c>
      <c r="R133" s="51"/>
      <c r="S133" s="51"/>
      <c r="T133" s="4"/>
    </row>
    <row r="134" spans="1:20">
      <c r="A134" s="69">
        <v>49</v>
      </c>
      <c r="B134" s="51" t="s">
        <v>353</v>
      </c>
      <c r="C134" s="51"/>
      <c r="D134" s="51"/>
      <c r="E134" s="51"/>
      <c r="F134" s="51"/>
      <c r="G134" s="51">
        <v>4</v>
      </c>
      <c r="H134" s="68">
        <v>419</v>
      </c>
      <c r="I134" s="51"/>
      <c r="J134" s="51"/>
      <c r="K134" s="51"/>
      <c r="L134" s="51"/>
      <c r="M134" s="51"/>
      <c r="N134" s="51"/>
      <c r="O134" s="51"/>
      <c r="P134" s="51"/>
      <c r="Q134" s="52">
        <f t="shared" si="4"/>
        <v>16.760000000000002</v>
      </c>
      <c r="R134" s="51"/>
      <c r="S134" s="51"/>
      <c r="T134" s="4"/>
    </row>
    <row r="135" spans="1:20">
      <c r="A135" s="69">
        <v>50</v>
      </c>
      <c r="B135" s="60" t="s">
        <v>208</v>
      </c>
      <c r="C135" s="51"/>
      <c r="D135" s="51"/>
      <c r="E135" s="51"/>
      <c r="F135" s="51"/>
      <c r="G135" s="51">
        <v>11</v>
      </c>
      <c r="H135" s="68">
        <v>803</v>
      </c>
      <c r="I135" s="51"/>
      <c r="J135" s="51"/>
      <c r="K135" s="51"/>
      <c r="L135" s="51"/>
      <c r="M135" s="51"/>
      <c r="N135" s="51"/>
      <c r="O135" s="51"/>
      <c r="P135" s="51"/>
      <c r="Q135" s="52">
        <f t="shared" si="4"/>
        <v>32.119999999999997</v>
      </c>
      <c r="R135" s="51"/>
      <c r="S135" s="51"/>
      <c r="T135" s="4" t="s">
        <v>268</v>
      </c>
    </row>
    <row r="136" spans="1:20">
      <c r="A136" s="69">
        <v>51</v>
      </c>
      <c r="B136" s="60" t="s">
        <v>290</v>
      </c>
      <c r="C136" s="51"/>
      <c r="D136" s="51"/>
      <c r="E136" s="51"/>
      <c r="F136" s="51"/>
      <c r="G136" s="51">
        <v>1</v>
      </c>
      <c r="H136" s="68">
        <v>82</v>
      </c>
      <c r="I136" s="51"/>
      <c r="J136" s="51"/>
      <c r="K136" s="51"/>
      <c r="L136" s="51"/>
      <c r="M136" s="51"/>
      <c r="N136" s="51"/>
      <c r="O136" s="51"/>
      <c r="P136" s="51"/>
      <c r="Q136" s="52">
        <f t="shared" si="4"/>
        <v>3.2800000000000002</v>
      </c>
      <c r="R136" s="51"/>
      <c r="S136" s="51"/>
      <c r="T136" s="7" t="s">
        <v>272</v>
      </c>
    </row>
    <row r="137" spans="1:20">
      <c r="A137" s="69">
        <v>52</v>
      </c>
      <c r="B137" s="60" t="s">
        <v>209</v>
      </c>
      <c r="C137" s="51"/>
      <c r="D137" s="51"/>
      <c r="E137" s="51"/>
      <c r="F137" s="51"/>
      <c r="G137" s="51">
        <v>1</v>
      </c>
      <c r="H137" s="68">
        <v>116</v>
      </c>
      <c r="I137" s="51"/>
      <c r="J137" s="51"/>
      <c r="K137" s="51"/>
      <c r="L137" s="51"/>
      <c r="M137" s="51"/>
      <c r="N137" s="51"/>
      <c r="O137" s="51"/>
      <c r="P137" s="51"/>
      <c r="Q137" s="52">
        <f t="shared" si="4"/>
        <v>4.6399999999999997</v>
      </c>
      <c r="R137" s="51"/>
      <c r="S137" s="51"/>
      <c r="T137" s="7"/>
    </row>
    <row r="138" spans="1:20">
      <c r="A138" s="69">
        <v>53</v>
      </c>
      <c r="B138" s="60" t="s">
        <v>219</v>
      </c>
      <c r="C138" s="51"/>
      <c r="D138" s="51"/>
      <c r="E138" s="51"/>
      <c r="F138" s="51"/>
      <c r="G138" s="51">
        <v>1</v>
      </c>
      <c r="H138" s="68">
        <v>80</v>
      </c>
      <c r="I138" s="51"/>
      <c r="J138" s="51"/>
      <c r="K138" s="51"/>
      <c r="L138" s="51"/>
      <c r="M138" s="51"/>
      <c r="N138" s="51"/>
      <c r="O138" s="51"/>
      <c r="P138" s="51"/>
      <c r="Q138" s="52">
        <f t="shared" si="4"/>
        <v>3.2</v>
      </c>
      <c r="R138" s="51"/>
      <c r="S138" s="51"/>
      <c r="T138" s="7"/>
    </row>
    <row r="139" spans="1:20">
      <c r="A139" s="69">
        <v>54</v>
      </c>
      <c r="B139" s="60" t="s">
        <v>354</v>
      </c>
      <c r="C139" s="51"/>
      <c r="D139" s="51"/>
      <c r="E139" s="51"/>
      <c r="F139" s="51"/>
      <c r="G139" s="51">
        <v>1</v>
      </c>
      <c r="H139" s="68">
        <v>42</v>
      </c>
      <c r="I139" s="51"/>
      <c r="J139" s="51"/>
      <c r="K139" s="51"/>
      <c r="L139" s="51"/>
      <c r="M139" s="51"/>
      <c r="N139" s="51"/>
      <c r="O139" s="51"/>
      <c r="P139" s="51"/>
      <c r="Q139" s="52">
        <f t="shared" si="4"/>
        <v>1.68</v>
      </c>
      <c r="R139" s="51"/>
      <c r="S139" s="51"/>
      <c r="T139" s="7"/>
    </row>
    <row r="140" spans="1:20">
      <c r="A140" s="69">
        <v>55</v>
      </c>
      <c r="B140" s="60" t="s">
        <v>355</v>
      </c>
      <c r="C140" s="51"/>
      <c r="D140" s="51"/>
      <c r="E140" s="51"/>
      <c r="F140" s="51"/>
      <c r="G140" s="51">
        <v>7</v>
      </c>
      <c r="H140" s="68">
        <v>220</v>
      </c>
      <c r="I140" s="51"/>
      <c r="J140" s="51"/>
      <c r="K140" s="51"/>
      <c r="L140" s="51"/>
      <c r="M140" s="51"/>
      <c r="N140" s="51"/>
      <c r="O140" s="51"/>
      <c r="P140" s="51"/>
      <c r="Q140" s="52">
        <f t="shared" si="4"/>
        <v>8.8000000000000007</v>
      </c>
      <c r="R140" s="51"/>
      <c r="S140" s="51"/>
      <c r="T140" s="7"/>
    </row>
    <row r="141" spans="1:20">
      <c r="A141" s="69">
        <v>56</v>
      </c>
      <c r="B141" s="63" t="s">
        <v>231</v>
      </c>
      <c r="C141" s="51"/>
      <c r="D141" s="51"/>
      <c r="E141" s="51"/>
      <c r="F141" s="51"/>
      <c r="G141" s="51">
        <v>25</v>
      </c>
      <c r="H141" s="68">
        <v>1925</v>
      </c>
      <c r="I141" s="51"/>
      <c r="J141" s="51"/>
      <c r="K141" s="51"/>
      <c r="L141" s="51"/>
      <c r="M141" s="51"/>
      <c r="N141" s="51"/>
      <c r="O141" s="51"/>
      <c r="P141" s="51"/>
      <c r="Q141" s="52">
        <f t="shared" si="4"/>
        <v>77</v>
      </c>
      <c r="R141" s="51"/>
      <c r="S141" s="51"/>
      <c r="T141" s="15"/>
    </row>
    <row r="142" spans="1:20">
      <c r="A142" s="69">
        <v>57</v>
      </c>
      <c r="B142" s="51" t="s">
        <v>237</v>
      </c>
      <c r="C142" s="51"/>
      <c r="D142" s="51"/>
      <c r="E142" s="51"/>
      <c r="F142" s="51"/>
      <c r="G142" s="51">
        <v>12</v>
      </c>
      <c r="H142" s="68">
        <v>566</v>
      </c>
      <c r="I142" s="51"/>
      <c r="J142" s="51"/>
      <c r="K142" s="51"/>
      <c r="L142" s="51"/>
      <c r="M142" s="51"/>
      <c r="N142" s="51"/>
      <c r="O142" s="51"/>
      <c r="P142" s="51"/>
      <c r="Q142" s="52">
        <f t="shared" si="4"/>
        <v>22.64</v>
      </c>
      <c r="R142" s="51"/>
      <c r="S142" s="51"/>
      <c r="T142" s="4" t="s">
        <v>271</v>
      </c>
    </row>
    <row r="143" spans="1:20">
      <c r="A143" s="69">
        <v>58</v>
      </c>
      <c r="B143" s="51" t="s">
        <v>238</v>
      </c>
      <c r="C143" s="51"/>
      <c r="D143" s="51"/>
      <c r="E143" s="51"/>
      <c r="F143" s="51"/>
      <c r="G143" s="51">
        <v>1</v>
      </c>
      <c r="H143" s="68">
        <v>86</v>
      </c>
      <c r="I143" s="51"/>
      <c r="J143" s="51"/>
      <c r="K143" s="51"/>
      <c r="L143" s="51"/>
      <c r="M143" s="51"/>
      <c r="N143" s="51"/>
      <c r="O143" s="51"/>
      <c r="P143" s="51"/>
      <c r="Q143" s="52">
        <f t="shared" si="4"/>
        <v>3.44</v>
      </c>
      <c r="R143" s="51"/>
      <c r="S143" s="51"/>
      <c r="T143" s="4"/>
    </row>
    <row r="144" spans="1:20" s="54" customFormat="1">
      <c r="A144" s="70" t="s">
        <v>253</v>
      </c>
      <c r="B144" s="53" t="s">
        <v>254</v>
      </c>
      <c r="C144" s="53"/>
      <c r="D144" s="53"/>
      <c r="E144" s="53"/>
      <c r="F144" s="53"/>
      <c r="G144" s="53">
        <f>SUM(G145:G177)</f>
        <v>490</v>
      </c>
      <c r="H144" s="67">
        <f>SUM(H145:H177)</f>
        <v>24641</v>
      </c>
      <c r="I144" s="53"/>
      <c r="J144" s="53"/>
      <c r="K144" s="53"/>
      <c r="L144" s="53"/>
      <c r="M144" s="53"/>
      <c r="N144" s="53"/>
      <c r="O144" s="53"/>
      <c r="P144" s="53"/>
      <c r="Q144" s="62">
        <f>SUM(Q145:Q177)</f>
        <v>985.63999999999987</v>
      </c>
      <c r="R144" s="53"/>
      <c r="S144" s="53"/>
      <c r="T144" s="53"/>
    </row>
    <row r="145" spans="1:20">
      <c r="A145" s="69">
        <v>1</v>
      </c>
      <c r="B145" s="51" t="s">
        <v>46</v>
      </c>
      <c r="C145" s="51"/>
      <c r="D145" s="51"/>
      <c r="E145" s="51"/>
      <c r="F145" s="51"/>
      <c r="G145" s="51">
        <v>15</v>
      </c>
      <c r="H145" s="68">
        <v>318</v>
      </c>
      <c r="I145" s="51"/>
      <c r="J145" s="51"/>
      <c r="K145" s="51"/>
      <c r="L145" s="51"/>
      <c r="M145" s="51"/>
      <c r="N145" s="51"/>
      <c r="O145" s="51"/>
      <c r="P145" s="51"/>
      <c r="Q145" s="52">
        <f>H145*0.04</f>
        <v>12.72</v>
      </c>
      <c r="R145" s="51"/>
      <c r="S145" s="51"/>
      <c r="T145" s="1" t="s">
        <v>267</v>
      </c>
    </row>
    <row r="146" spans="1:20">
      <c r="A146" s="69">
        <v>2</v>
      </c>
      <c r="B146" s="51" t="s">
        <v>59</v>
      </c>
      <c r="C146" s="51"/>
      <c r="D146" s="51"/>
      <c r="E146" s="51"/>
      <c r="F146" s="51"/>
      <c r="G146" s="51">
        <v>1</v>
      </c>
      <c r="H146" s="68">
        <v>243</v>
      </c>
      <c r="I146" s="51"/>
      <c r="J146" s="51"/>
      <c r="K146" s="51"/>
      <c r="L146" s="51"/>
      <c r="M146" s="51"/>
      <c r="N146" s="51"/>
      <c r="O146" s="51"/>
      <c r="P146" s="51"/>
      <c r="Q146" s="52">
        <f t="shared" ref="Q146:Q177" si="5">H146*0.04</f>
        <v>9.7200000000000006</v>
      </c>
      <c r="R146" s="51"/>
      <c r="S146" s="51"/>
      <c r="T146" s="4"/>
    </row>
    <row r="147" spans="1:20">
      <c r="A147" s="69">
        <v>3</v>
      </c>
      <c r="B147" s="51" t="s">
        <v>60</v>
      </c>
      <c r="C147" s="51"/>
      <c r="D147" s="51"/>
      <c r="E147" s="51"/>
      <c r="F147" s="51"/>
      <c r="G147" s="51">
        <v>19</v>
      </c>
      <c r="H147" s="68">
        <v>657</v>
      </c>
      <c r="I147" s="51"/>
      <c r="J147" s="51"/>
      <c r="K147" s="51"/>
      <c r="L147" s="51"/>
      <c r="M147" s="51"/>
      <c r="N147" s="51"/>
      <c r="O147" s="51"/>
      <c r="P147" s="51"/>
      <c r="Q147" s="52">
        <f t="shared" si="5"/>
        <v>26.28</v>
      </c>
      <c r="R147" s="51"/>
      <c r="S147" s="51"/>
      <c r="T147" s="1" t="s">
        <v>267</v>
      </c>
    </row>
    <row r="148" spans="1:20">
      <c r="A148" s="69">
        <v>4</v>
      </c>
      <c r="B148" s="51" t="s">
        <v>62</v>
      </c>
      <c r="C148" s="51"/>
      <c r="D148" s="51"/>
      <c r="E148" s="51"/>
      <c r="F148" s="51"/>
      <c r="G148" s="51">
        <v>6</v>
      </c>
      <c r="H148" s="68">
        <v>420</v>
      </c>
      <c r="I148" s="51"/>
      <c r="J148" s="51"/>
      <c r="K148" s="51"/>
      <c r="L148" s="51"/>
      <c r="M148" s="51"/>
      <c r="N148" s="51"/>
      <c r="O148" s="51"/>
      <c r="P148" s="51"/>
      <c r="Q148" s="52">
        <f t="shared" si="5"/>
        <v>16.8</v>
      </c>
      <c r="R148" s="51"/>
      <c r="S148" s="51"/>
      <c r="T148" s="1" t="s">
        <v>268</v>
      </c>
    </row>
    <row r="149" spans="1:20">
      <c r="A149" s="69">
        <v>5</v>
      </c>
      <c r="B149" s="60" t="s">
        <v>72</v>
      </c>
      <c r="C149" s="51"/>
      <c r="D149" s="51"/>
      <c r="E149" s="51"/>
      <c r="F149" s="51"/>
      <c r="G149" s="51">
        <v>36</v>
      </c>
      <c r="H149" s="68">
        <v>931</v>
      </c>
      <c r="I149" s="51"/>
      <c r="J149" s="51"/>
      <c r="K149" s="51"/>
      <c r="L149" s="51"/>
      <c r="M149" s="51"/>
      <c r="N149" s="51"/>
      <c r="O149" s="51"/>
      <c r="P149" s="51"/>
      <c r="Q149" s="52">
        <f t="shared" si="5"/>
        <v>37.24</v>
      </c>
      <c r="R149" s="51"/>
      <c r="S149" s="51"/>
      <c r="T149" s="1" t="s">
        <v>269</v>
      </c>
    </row>
    <row r="150" spans="1:20">
      <c r="A150" s="69">
        <v>6</v>
      </c>
      <c r="B150" s="7" t="s">
        <v>331</v>
      </c>
      <c r="C150" s="51"/>
      <c r="D150" s="51"/>
      <c r="E150" s="51"/>
      <c r="F150" s="51"/>
      <c r="G150" s="51">
        <v>22</v>
      </c>
      <c r="H150" s="68">
        <v>280</v>
      </c>
      <c r="I150" s="51"/>
      <c r="J150" s="51"/>
      <c r="K150" s="51"/>
      <c r="L150" s="51"/>
      <c r="M150" s="51"/>
      <c r="N150" s="51"/>
      <c r="O150" s="51"/>
      <c r="P150" s="51"/>
      <c r="Q150" s="52">
        <f t="shared" si="5"/>
        <v>11.200000000000001</v>
      </c>
      <c r="R150" s="51"/>
      <c r="S150" s="51"/>
      <c r="T150" s="1" t="s">
        <v>267</v>
      </c>
    </row>
    <row r="151" spans="1:20">
      <c r="A151" s="69">
        <v>7</v>
      </c>
      <c r="B151" s="7" t="s">
        <v>332</v>
      </c>
      <c r="C151" s="51"/>
      <c r="D151" s="51"/>
      <c r="E151" s="51"/>
      <c r="F151" s="51"/>
      <c r="G151" s="51">
        <v>6</v>
      </c>
      <c r="H151" s="68">
        <v>90</v>
      </c>
      <c r="I151" s="51"/>
      <c r="J151" s="51"/>
      <c r="K151" s="51"/>
      <c r="L151" s="51"/>
      <c r="M151" s="51"/>
      <c r="N151" s="51"/>
      <c r="O151" s="51"/>
      <c r="P151" s="51"/>
      <c r="Q151" s="52">
        <f t="shared" si="5"/>
        <v>3.6</v>
      </c>
      <c r="R151" s="51"/>
      <c r="S151" s="51"/>
      <c r="T151" s="7"/>
    </row>
    <row r="152" spans="1:20">
      <c r="A152" s="69">
        <v>8</v>
      </c>
      <c r="B152" s="60" t="s">
        <v>84</v>
      </c>
      <c r="C152" s="51"/>
      <c r="D152" s="51"/>
      <c r="E152" s="51"/>
      <c r="F152" s="51"/>
      <c r="G152" s="51">
        <v>58</v>
      </c>
      <c r="H152" s="68">
        <v>5464</v>
      </c>
      <c r="I152" s="51"/>
      <c r="J152" s="51"/>
      <c r="K152" s="51"/>
      <c r="L152" s="51"/>
      <c r="M152" s="51"/>
      <c r="N152" s="51"/>
      <c r="O152" s="51"/>
      <c r="P152" s="51"/>
      <c r="Q152" s="52">
        <f t="shared" si="5"/>
        <v>218.56</v>
      </c>
      <c r="R152" s="51"/>
      <c r="S152" s="51"/>
      <c r="T152" s="1" t="s">
        <v>273</v>
      </c>
    </row>
    <row r="153" spans="1:20">
      <c r="A153" s="69">
        <v>9</v>
      </c>
      <c r="B153" s="60" t="s">
        <v>93</v>
      </c>
      <c r="C153" s="51"/>
      <c r="D153" s="51"/>
      <c r="E153" s="51"/>
      <c r="F153" s="51"/>
      <c r="G153" s="51">
        <v>1</v>
      </c>
      <c r="H153" s="68">
        <v>74</v>
      </c>
      <c r="I153" s="51"/>
      <c r="J153" s="51"/>
      <c r="K153" s="51"/>
      <c r="L153" s="51"/>
      <c r="M153" s="51"/>
      <c r="N153" s="51"/>
      <c r="O153" s="51"/>
      <c r="P153" s="51"/>
      <c r="Q153" s="52">
        <f t="shared" si="5"/>
        <v>2.96</v>
      </c>
      <c r="R153" s="51"/>
      <c r="S153" s="51"/>
      <c r="T153" s="7"/>
    </row>
    <row r="154" spans="1:20">
      <c r="A154" s="69">
        <v>10</v>
      </c>
      <c r="B154" s="60" t="s">
        <v>104</v>
      </c>
      <c r="C154" s="51"/>
      <c r="D154" s="51"/>
      <c r="E154" s="51"/>
      <c r="F154" s="51"/>
      <c r="G154" s="51">
        <v>2</v>
      </c>
      <c r="H154" s="68">
        <v>128</v>
      </c>
      <c r="I154" s="51"/>
      <c r="J154" s="51"/>
      <c r="K154" s="51"/>
      <c r="L154" s="51"/>
      <c r="M154" s="51"/>
      <c r="N154" s="51"/>
      <c r="O154" s="51"/>
      <c r="P154" s="51"/>
      <c r="Q154" s="52">
        <f t="shared" si="5"/>
        <v>5.12</v>
      </c>
      <c r="R154" s="51"/>
      <c r="S154" s="51"/>
      <c r="T154" s="7"/>
    </row>
    <row r="155" spans="1:20">
      <c r="A155" s="69">
        <v>11</v>
      </c>
      <c r="B155" s="60" t="s">
        <v>105</v>
      </c>
      <c r="C155" s="51"/>
      <c r="D155" s="51"/>
      <c r="E155" s="51"/>
      <c r="F155" s="51"/>
      <c r="G155" s="51">
        <v>17</v>
      </c>
      <c r="H155" s="68">
        <v>856</v>
      </c>
      <c r="I155" s="51"/>
      <c r="J155" s="51"/>
      <c r="K155" s="51"/>
      <c r="L155" s="51"/>
      <c r="M155" s="51"/>
      <c r="N155" s="51"/>
      <c r="O155" s="51"/>
      <c r="P155" s="51"/>
      <c r="Q155" s="52">
        <f t="shared" si="5"/>
        <v>34.24</v>
      </c>
      <c r="R155" s="51"/>
      <c r="S155" s="51"/>
      <c r="T155" s="1" t="s">
        <v>268</v>
      </c>
    </row>
    <row r="156" spans="1:20">
      <c r="A156" s="69">
        <v>12</v>
      </c>
      <c r="B156" s="60" t="s">
        <v>106</v>
      </c>
      <c r="C156" s="51"/>
      <c r="D156" s="51"/>
      <c r="E156" s="51"/>
      <c r="F156" s="51"/>
      <c r="G156" s="51">
        <v>17</v>
      </c>
      <c r="H156" s="68">
        <v>918</v>
      </c>
      <c r="I156" s="51"/>
      <c r="J156" s="51"/>
      <c r="K156" s="51"/>
      <c r="L156" s="51"/>
      <c r="M156" s="51"/>
      <c r="N156" s="51"/>
      <c r="O156" s="51"/>
      <c r="P156" s="51"/>
      <c r="Q156" s="52">
        <f t="shared" si="5"/>
        <v>36.72</v>
      </c>
      <c r="R156" s="51"/>
      <c r="S156" s="51"/>
      <c r="T156" s="1" t="s">
        <v>267</v>
      </c>
    </row>
    <row r="157" spans="1:20">
      <c r="A157" s="69">
        <v>13</v>
      </c>
      <c r="B157" s="51" t="s">
        <v>107</v>
      </c>
      <c r="C157" s="51"/>
      <c r="D157" s="51"/>
      <c r="E157" s="51"/>
      <c r="F157" s="51"/>
      <c r="G157" s="51">
        <v>2</v>
      </c>
      <c r="H157" s="68">
        <v>80</v>
      </c>
      <c r="I157" s="51"/>
      <c r="J157" s="51"/>
      <c r="K157" s="51"/>
      <c r="L157" s="51"/>
      <c r="M157" s="51"/>
      <c r="N157" s="51"/>
      <c r="O157" s="51"/>
      <c r="P157" s="51"/>
      <c r="Q157" s="52">
        <f t="shared" si="5"/>
        <v>3.2</v>
      </c>
      <c r="R157" s="51"/>
      <c r="S157" s="51"/>
      <c r="T157" s="4"/>
    </row>
    <row r="158" spans="1:20">
      <c r="A158" s="69">
        <v>14</v>
      </c>
      <c r="B158" s="51" t="s">
        <v>112</v>
      </c>
      <c r="C158" s="51"/>
      <c r="D158" s="51"/>
      <c r="E158" s="51"/>
      <c r="F158" s="51"/>
      <c r="G158" s="51">
        <v>16</v>
      </c>
      <c r="H158" s="68">
        <v>654</v>
      </c>
      <c r="I158" s="51"/>
      <c r="J158" s="51"/>
      <c r="K158" s="51"/>
      <c r="L158" s="51"/>
      <c r="M158" s="51"/>
      <c r="N158" s="51"/>
      <c r="O158" s="51"/>
      <c r="P158" s="51"/>
      <c r="Q158" s="52">
        <f t="shared" si="5"/>
        <v>26.16</v>
      </c>
      <c r="R158" s="51"/>
      <c r="S158" s="51"/>
      <c r="T158" s="1" t="s">
        <v>267</v>
      </c>
    </row>
    <row r="159" spans="1:20">
      <c r="A159" s="69">
        <v>15</v>
      </c>
      <c r="B159" s="51" t="s">
        <v>113</v>
      </c>
      <c r="C159" s="51"/>
      <c r="D159" s="51"/>
      <c r="E159" s="51"/>
      <c r="F159" s="51"/>
      <c r="G159" s="51">
        <v>10</v>
      </c>
      <c r="H159" s="68">
        <v>412</v>
      </c>
      <c r="I159" s="51"/>
      <c r="J159" s="51"/>
      <c r="K159" s="51"/>
      <c r="L159" s="51"/>
      <c r="M159" s="51"/>
      <c r="N159" s="51"/>
      <c r="O159" s="51"/>
      <c r="P159" s="51"/>
      <c r="Q159" s="52">
        <f t="shared" si="5"/>
        <v>16.48</v>
      </c>
      <c r="R159" s="51"/>
      <c r="S159" s="51"/>
      <c r="T159" s="1" t="s">
        <v>267</v>
      </c>
    </row>
    <row r="160" spans="1:20">
      <c r="A160" s="69">
        <v>16</v>
      </c>
      <c r="B160" s="51" t="s">
        <v>114</v>
      </c>
      <c r="C160" s="51"/>
      <c r="D160" s="51"/>
      <c r="E160" s="51"/>
      <c r="F160" s="51"/>
      <c r="G160" s="51">
        <v>8</v>
      </c>
      <c r="H160" s="68">
        <v>226</v>
      </c>
      <c r="I160" s="51"/>
      <c r="J160" s="51"/>
      <c r="K160" s="51"/>
      <c r="L160" s="51"/>
      <c r="M160" s="51"/>
      <c r="N160" s="51"/>
      <c r="O160" s="51"/>
      <c r="P160" s="51"/>
      <c r="Q160" s="52">
        <f t="shared" si="5"/>
        <v>9.0400000000000009</v>
      </c>
      <c r="R160" s="51"/>
      <c r="S160" s="51"/>
      <c r="T160" s="1" t="s">
        <v>267</v>
      </c>
    </row>
    <row r="161" spans="1:20">
      <c r="A161" s="69">
        <v>17</v>
      </c>
      <c r="B161" s="51" t="s">
        <v>125</v>
      </c>
      <c r="C161" s="51"/>
      <c r="D161" s="51"/>
      <c r="E161" s="51"/>
      <c r="F161" s="51"/>
      <c r="G161" s="51">
        <v>10</v>
      </c>
      <c r="H161" s="68">
        <v>392</v>
      </c>
      <c r="I161" s="51"/>
      <c r="J161" s="51"/>
      <c r="K161" s="51"/>
      <c r="L161" s="51"/>
      <c r="M161" s="51"/>
      <c r="N161" s="51"/>
      <c r="O161" s="51"/>
      <c r="P161" s="51"/>
      <c r="Q161" s="52">
        <f t="shared" si="5"/>
        <v>15.68</v>
      </c>
      <c r="R161" s="51"/>
      <c r="S161" s="51"/>
      <c r="T161" s="1" t="s">
        <v>268</v>
      </c>
    </row>
    <row r="162" spans="1:20">
      <c r="A162" s="69">
        <v>18</v>
      </c>
      <c r="B162" s="51" t="s">
        <v>126</v>
      </c>
      <c r="C162" s="51"/>
      <c r="D162" s="51"/>
      <c r="E162" s="51"/>
      <c r="F162" s="51"/>
      <c r="G162" s="51">
        <v>1</v>
      </c>
      <c r="H162" s="68">
        <v>92</v>
      </c>
      <c r="I162" s="51"/>
      <c r="J162" s="51"/>
      <c r="K162" s="51"/>
      <c r="L162" s="51"/>
      <c r="M162" s="51"/>
      <c r="N162" s="51"/>
      <c r="O162" s="51"/>
      <c r="P162" s="51"/>
      <c r="Q162" s="52">
        <f t="shared" si="5"/>
        <v>3.68</v>
      </c>
      <c r="R162" s="51"/>
      <c r="S162" s="51"/>
      <c r="T162" s="4"/>
    </row>
    <row r="163" spans="1:20">
      <c r="A163" s="69">
        <v>19</v>
      </c>
      <c r="B163" s="51" t="s">
        <v>127</v>
      </c>
      <c r="C163" s="51"/>
      <c r="D163" s="51"/>
      <c r="E163" s="51"/>
      <c r="F163" s="51"/>
      <c r="G163" s="51">
        <v>1</v>
      </c>
      <c r="H163" s="68">
        <v>74</v>
      </c>
      <c r="I163" s="51"/>
      <c r="J163" s="51"/>
      <c r="K163" s="51"/>
      <c r="L163" s="51"/>
      <c r="M163" s="51"/>
      <c r="N163" s="51"/>
      <c r="O163" s="51"/>
      <c r="P163" s="51"/>
      <c r="Q163" s="52">
        <f t="shared" si="5"/>
        <v>2.96</v>
      </c>
      <c r="R163" s="51"/>
      <c r="S163" s="51"/>
      <c r="T163" s="4"/>
    </row>
    <row r="164" spans="1:20">
      <c r="A164" s="69">
        <v>20</v>
      </c>
      <c r="B164" s="51" t="s">
        <v>128</v>
      </c>
      <c r="C164" s="51"/>
      <c r="D164" s="51"/>
      <c r="E164" s="51"/>
      <c r="F164" s="51"/>
      <c r="G164" s="51">
        <v>11</v>
      </c>
      <c r="H164" s="68">
        <v>632</v>
      </c>
      <c r="I164" s="51"/>
      <c r="J164" s="51"/>
      <c r="K164" s="51"/>
      <c r="L164" s="51"/>
      <c r="M164" s="51"/>
      <c r="N164" s="51"/>
      <c r="O164" s="51"/>
      <c r="P164" s="51"/>
      <c r="Q164" s="52">
        <f t="shared" si="5"/>
        <v>25.28</v>
      </c>
      <c r="R164" s="51"/>
      <c r="S164" s="51"/>
      <c r="T164" s="1" t="s">
        <v>267</v>
      </c>
    </row>
    <row r="165" spans="1:20">
      <c r="A165" s="69">
        <v>21</v>
      </c>
      <c r="B165" s="51" t="s">
        <v>136</v>
      </c>
      <c r="C165" s="51"/>
      <c r="D165" s="51"/>
      <c r="E165" s="51"/>
      <c r="F165" s="51"/>
      <c r="G165" s="51">
        <v>10</v>
      </c>
      <c r="H165" s="68">
        <v>715</v>
      </c>
      <c r="I165" s="51"/>
      <c r="J165" s="51"/>
      <c r="K165" s="51"/>
      <c r="L165" s="51"/>
      <c r="M165" s="51"/>
      <c r="N165" s="51"/>
      <c r="O165" s="51"/>
      <c r="P165" s="51"/>
      <c r="Q165" s="52">
        <f t="shared" si="5"/>
        <v>28.6</v>
      </c>
      <c r="R165" s="51"/>
      <c r="S165" s="51"/>
      <c r="T165" s="4"/>
    </row>
    <row r="166" spans="1:20">
      <c r="A166" s="69">
        <v>22</v>
      </c>
      <c r="B166" s="51" t="s">
        <v>147</v>
      </c>
      <c r="C166" s="51"/>
      <c r="D166" s="51"/>
      <c r="E166" s="51"/>
      <c r="F166" s="51"/>
      <c r="G166" s="51">
        <v>2</v>
      </c>
      <c r="H166" s="68">
        <v>132</v>
      </c>
      <c r="I166" s="51"/>
      <c r="J166" s="51"/>
      <c r="K166" s="51"/>
      <c r="L166" s="51"/>
      <c r="M166" s="51"/>
      <c r="N166" s="51"/>
      <c r="O166" s="51"/>
      <c r="P166" s="51"/>
      <c r="Q166" s="52">
        <f t="shared" si="5"/>
        <v>5.28</v>
      </c>
      <c r="R166" s="51"/>
      <c r="S166" s="51"/>
      <c r="T166" s="1" t="s">
        <v>267</v>
      </c>
    </row>
    <row r="167" spans="1:20">
      <c r="A167" s="69">
        <v>23</v>
      </c>
      <c r="B167" s="51" t="s">
        <v>152</v>
      </c>
      <c r="C167" s="51"/>
      <c r="D167" s="51"/>
      <c r="E167" s="51"/>
      <c r="F167" s="51"/>
      <c r="G167" s="51">
        <v>16</v>
      </c>
      <c r="H167" s="68">
        <v>320</v>
      </c>
      <c r="I167" s="51"/>
      <c r="J167" s="51"/>
      <c r="K167" s="51"/>
      <c r="L167" s="51"/>
      <c r="M167" s="51"/>
      <c r="N167" s="51"/>
      <c r="O167" s="51"/>
      <c r="P167" s="51"/>
      <c r="Q167" s="52">
        <f t="shared" si="5"/>
        <v>12.8</v>
      </c>
      <c r="R167" s="51"/>
      <c r="S167" s="51"/>
      <c r="T167" s="1" t="s">
        <v>268</v>
      </c>
    </row>
    <row r="168" spans="1:20">
      <c r="A168" s="69">
        <v>24</v>
      </c>
      <c r="B168" s="51" t="s">
        <v>153</v>
      </c>
      <c r="C168" s="51"/>
      <c r="D168" s="51"/>
      <c r="E168" s="51"/>
      <c r="F168" s="51"/>
      <c r="G168" s="51">
        <v>8</v>
      </c>
      <c r="H168" s="68">
        <v>303</v>
      </c>
      <c r="I168" s="51"/>
      <c r="J168" s="51"/>
      <c r="K168" s="51"/>
      <c r="L168" s="51"/>
      <c r="M168" s="51"/>
      <c r="N168" s="51"/>
      <c r="O168" s="51"/>
      <c r="P168" s="51"/>
      <c r="Q168" s="52">
        <f t="shared" si="5"/>
        <v>12.120000000000001</v>
      </c>
      <c r="R168" s="51"/>
      <c r="S168" s="51"/>
      <c r="T168" s="1" t="s">
        <v>267</v>
      </c>
    </row>
    <row r="169" spans="1:20">
      <c r="A169" s="69">
        <v>25</v>
      </c>
      <c r="B169" s="51" t="s">
        <v>156</v>
      </c>
      <c r="C169" s="51"/>
      <c r="D169" s="51"/>
      <c r="E169" s="51"/>
      <c r="F169" s="51"/>
      <c r="G169" s="51">
        <v>15</v>
      </c>
      <c r="H169" s="68">
        <v>423</v>
      </c>
      <c r="I169" s="51"/>
      <c r="J169" s="51"/>
      <c r="K169" s="51"/>
      <c r="L169" s="51"/>
      <c r="M169" s="51"/>
      <c r="N169" s="51"/>
      <c r="O169" s="51"/>
      <c r="P169" s="51"/>
      <c r="Q169" s="52">
        <f t="shared" si="5"/>
        <v>16.920000000000002</v>
      </c>
      <c r="R169" s="51"/>
      <c r="S169" s="51"/>
      <c r="T169" s="1" t="s">
        <v>269</v>
      </c>
    </row>
    <row r="170" spans="1:20">
      <c r="A170" s="69">
        <v>26</v>
      </c>
      <c r="B170" s="60" t="s">
        <v>167</v>
      </c>
      <c r="C170" s="51"/>
      <c r="D170" s="51"/>
      <c r="E170" s="51"/>
      <c r="F170" s="51"/>
      <c r="G170" s="51">
        <v>1</v>
      </c>
      <c r="H170" s="68">
        <v>30</v>
      </c>
      <c r="I170" s="51"/>
      <c r="J170" s="51"/>
      <c r="K170" s="51"/>
      <c r="L170" s="51"/>
      <c r="M170" s="51"/>
      <c r="N170" s="51"/>
      <c r="O170" s="51"/>
      <c r="P170" s="51"/>
      <c r="Q170" s="52">
        <f t="shared" si="5"/>
        <v>1.2</v>
      </c>
      <c r="R170" s="51"/>
      <c r="S170" s="51"/>
      <c r="T170" s="7"/>
    </row>
    <row r="171" spans="1:20">
      <c r="A171" s="69">
        <v>27</v>
      </c>
      <c r="B171" s="60" t="s">
        <v>178</v>
      </c>
      <c r="C171" s="51"/>
      <c r="D171" s="51"/>
      <c r="E171" s="51"/>
      <c r="F171" s="51"/>
      <c r="G171" s="51">
        <v>166</v>
      </c>
      <c r="H171" s="68">
        <v>9181</v>
      </c>
      <c r="I171" s="51"/>
      <c r="J171" s="51"/>
      <c r="K171" s="51"/>
      <c r="L171" s="51"/>
      <c r="M171" s="51"/>
      <c r="N171" s="51"/>
      <c r="O171" s="51"/>
      <c r="P171" s="51"/>
      <c r="Q171" s="52">
        <f t="shared" si="5"/>
        <v>367.24</v>
      </c>
      <c r="R171" s="51"/>
      <c r="S171" s="51"/>
      <c r="T171" s="7" t="s">
        <v>270</v>
      </c>
    </row>
    <row r="172" spans="1:20">
      <c r="A172" s="69">
        <v>28</v>
      </c>
      <c r="B172" s="51" t="s">
        <v>180</v>
      </c>
      <c r="C172" s="51"/>
      <c r="D172" s="51"/>
      <c r="E172" s="51"/>
      <c r="F172" s="51"/>
      <c r="G172" s="51">
        <v>1</v>
      </c>
      <c r="H172" s="68">
        <v>29</v>
      </c>
      <c r="I172" s="51"/>
      <c r="J172" s="51"/>
      <c r="K172" s="51"/>
      <c r="L172" s="51"/>
      <c r="M172" s="51"/>
      <c r="N172" s="51"/>
      <c r="O172" s="51"/>
      <c r="P172" s="51"/>
      <c r="Q172" s="52">
        <f t="shared" si="5"/>
        <v>1.1599999999999999</v>
      </c>
      <c r="R172" s="51"/>
      <c r="S172" s="51"/>
      <c r="T172" s="4"/>
    </row>
    <row r="173" spans="1:20">
      <c r="A173" s="69">
        <v>29</v>
      </c>
      <c r="B173" s="51" t="s">
        <v>184</v>
      </c>
      <c r="C173" s="51"/>
      <c r="D173" s="51"/>
      <c r="E173" s="51"/>
      <c r="F173" s="51"/>
      <c r="G173" s="51">
        <v>3</v>
      </c>
      <c r="H173" s="68">
        <v>125</v>
      </c>
      <c r="I173" s="51"/>
      <c r="J173" s="51"/>
      <c r="K173" s="51"/>
      <c r="L173" s="51"/>
      <c r="M173" s="51"/>
      <c r="N173" s="51"/>
      <c r="O173" s="51"/>
      <c r="P173" s="51"/>
      <c r="Q173" s="52">
        <f t="shared" si="5"/>
        <v>5</v>
      </c>
      <c r="R173" s="51"/>
      <c r="S173" s="51"/>
      <c r="T173" s="4"/>
    </row>
    <row r="174" spans="1:20">
      <c r="A174" s="69">
        <v>30</v>
      </c>
      <c r="B174" s="51" t="s">
        <v>185</v>
      </c>
      <c r="C174" s="51"/>
      <c r="D174" s="51"/>
      <c r="E174" s="51"/>
      <c r="F174" s="51"/>
      <c r="G174" s="51">
        <v>2</v>
      </c>
      <c r="H174" s="68">
        <v>51</v>
      </c>
      <c r="I174" s="51"/>
      <c r="J174" s="51"/>
      <c r="K174" s="51"/>
      <c r="L174" s="51"/>
      <c r="M174" s="51"/>
      <c r="N174" s="51"/>
      <c r="O174" s="51"/>
      <c r="P174" s="51"/>
      <c r="Q174" s="52">
        <f t="shared" si="5"/>
        <v>2.04</v>
      </c>
      <c r="R174" s="51"/>
      <c r="S174" s="51"/>
      <c r="T174" s="4"/>
    </row>
    <row r="175" spans="1:20">
      <c r="A175" s="69">
        <v>31</v>
      </c>
      <c r="B175" s="51" t="s">
        <v>190</v>
      </c>
      <c r="C175" s="51"/>
      <c r="D175" s="51"/>
      <c r="E175" s="51"/>
      <c r="F175" s="51"/>
      <c r="G175" s="51">
        <v>2</v>
      </c>
      <c r="H175" s="68">
        <v>154</v>
      </c>
      <c r="I175" s="51"/>
      <c r="J175" s="51"/>
      <c r="K175" s="51"/>
      <c r="L175" s="51"/>
      <c r="M175" s="51"/>
      <c r="N175" s="51"/>
      <c r="O175" s="51"/>
      <c r="P175" s="51"/>
      <c r="Q175" s="52">
        <f t="shared" si="5"/>
        <v>6.16</v>
      </c>
      <c r="R175" s="51"/>
      <c r="S175" s="51"/>
      <c r="T175" s="1" t="s">
        <v>267</v>
      </c>
    </row>
    <row r="176" spans="1:20">
      <c r="A176" s="69">
        <v>32</v>
      </c>
      <c r="B176" s="60" t="s">
        <v>204</v>
      </c>
      <c r="C176" s="51"/>
      <c r="D176" s="51"/>
      <c r="E176" s="51"/>
      <c r="F176" s="51"/>
      <c r="G176" s="51">
        <v>4</v>
      </c>
      <c r="H176" s="68">
        <v>166</v>
      </c>
      <c r="I176" s="51"/>
      <c r="J176" s="51"/>
      <c r="K176" s="51"/>
      <c r="L176" s="51"/>
      <c r="M176" s="51"/>
      <c r="N176" s="51"/>
      <c r="O176" s="51"/>
      <c r="P176" s="51"/>
      <c r="Q176" s="52">
        <f t="shared" si="5"/>
        <v>6.6400000000000006</v>
      </c>
      <c r="R176" s="51"/>
      <c r="S176" s="51"/>
      <c r="T176" s="7"/>
    </row>
    <row r="177" spans="1:20">
      <c r="A177" s="69">
        <v>33</v>
      </c>
      <c r="B177" s="60" t="s">
        <v>224</v>
      </c>
      <c r="C177" s="51"/>
      <c r="D177" s="51"/>
      <c r="E177" s="51"/>
      <c r="F177" s="51"/>
      <c r="G177" s="51">
        <v>1</v>
      </c>
      <c r="H177" s="68">
        <v>71</v>
      </c>
      <c r="I177" s="51"/>
      <c r="J177" s="51"/>
      <c r="K177" s="51"/>
      <c r="L177" s="51"/>
      <c r="M177" s="51"/>
      <c r="N177" s="51"/>
      <c r="O177" s="51"/>
      <c r="P177" s="51"/>
      <c r="Q177" s="52">
        <f t="shared" si="5"/>
        <v>2.84</v>
      </c>
      <c r="R177" s="51"/>
      <c r="S177" s="51"/>
      <c r="T177" s="7"/>
    </row>
    <row r="178" spans="1:20" s="54" customFormat="1">
      <c r="A178" s="70" t="s">
        <v>255</v>
      </c>
      <c r="B178" s="53" t="s">
        <v>256</v>
      </c>
      <c r="C178" s="53"/>
      <c r="D178" s="53"/>
      <c r="E178" s="53"/>
      <c r="F178" s="53"/>
      <c r="G178" s="53">
        <f>SUM(G179:G207)</f>
        <v>208</v>
      </c>
      <c r="H178" s="67">
        <f t="shared" ref="H178:Q178" si="6">SUM(H179:H207)</f>
        <v>9863</v>
      </c>
      <c r="I178" s="53">
        <f t="shared" si="6"/>
        <v>0</v>
      </c>
      <c r="J178" s="53">
        <f t="shared" si="6"/>
        <v>0</v>
      </c>
      <c r="K178" s="53">
        <f t="shared" si="6"/>
        <v>0</v>
      </c>
      <c r="L178" s="53">
        <f t="shared" si="6"/>
        <v>0</v>
      </c>
      <c r="M178" s="53">
        <f t="shared" si="6"/>
        <v>0</v>
      </c>
      <c r="N178" s="53">
        <f t="shared" si="6"/>
        <v>0</v>
      </c>
      <c r="O178" s="53">
        <f t="shared" si="6"/>
        <v>0</v>
      </c>
      <c r="P178" s="53">
        <f t="shared" si="6"/>
        <v>0</v>
      </c>
      <c r="Q178" s="62">
        <f t="shared" si="6"/>
        <v>394.52000000000004</v>
      </c>
      <c r="R178" s="53"/>
      <c r="S178" s="53"/>
      <c r="T178" s="53"/>
    </row>
    <row r="179" spans="1:20">
      <c r="A179" s="69">
        <v>1</v>
      </c>
      <c r="B179" s="59" t="s">
        <v>19</v>
      </c>
      <c r="C179" s="51"/>
      <c r="D179" s="51"/>
      <c r="E179" s="51"/>
      <c r="F179" s="51"/>
      <c r="G179" s="51">
        <v>1</v>
      </c>
      <c r="H179" s="68">
        <v>215</v>
      </c>
      <c r="I179" s="51"/>
      <c r="J179" s="51"/>
      <c r="K179" s="51"/>
      <c r="L179" s="51"/>
      <c r="M179" s="51"/>
      <c r="N179" s="51"/>
      <c r="O179" s="51"/>
      <c r="P179" s="51"/>
      <c r="Q179" s="52">
        <f>H179*0.04</f>
        <v>8.6</v>
      </c>
      <c r="R179" s="51"/>
      <c r="S179" s="51"/>
      <c r="T179" s="1"/>
    </row>
    <row r="180" spans="1:20">
      <c r="A180" s="69">
        <v>2</v>
      </c>
      <c r="B180" s="51" t="s">
        <v>57</v>
      </c>
      <c r="C180" s="51"/>
      <c r="D180" s="51"/>
      <c r="E180" s="51"/>
      <c r="F180" s="51"/>
      <c r="G180" s="51">
        <v>18</v>
      </c>
      <c r="H180" s="68">
        <v>217</v>
      </c>
      <c r="I180" s="51"/>
      <c r="J180" s="51"/>
      <c r="K180" s="51"/>
      <c r="L180" s="51"/>
      <c r="M180" s="51"/>
      <c r="N180" s="51"/>
      <c r="O180" s="51"/>
      <c r="P180" s="51"/>
      <c r="Q180" s="52">
        <f t="shared" ref="Q180:Q207" si="7">H180*0.04</f>
        <v>8.68</v>
      </c>
      <c r="R180" s="51"/>
      <c r="S180" s="51"/>
      <c r="T180" s="1" t="s">
        <v>268</v>
      </c>
    </row>
    <row r="181" spans="1:20">
      <c r="A181" s="69">
        <v>3</v>
      </c>
      <c r="B181" s="4" t="s">
        <v>333</v>
      </c>
      <c r="C181" s="51"/>
      <c r="D181" s="51"/>
      <c r="E181" s="51"/>
      <c r="F181" s="51"/>
      <c r="G181" s="51">
        <v>13</v>
      </c>
      <c r="H181" s="68">
        <v>469</v>
      </c>
      <c r="I181" s="51"/>
      <c r="J181" s="51"/>
      <c r="K181" s="51"/>
      <c r="L181" s="51"/>
      <c r="M181" s="51"/>
      <c r="N181" s="51"/>
      <c r="O181" s="51"/>
      <c r="P181" s="51"/>
      <c r="Q181" s="52">
        <f t="shared" si="7"/>
        <v>18.760000000000002</v>
      </c>
      <c r="R181" s="51"/>
      <c r="S181" s="51"/>
      <c r="T181" s="1" t="s">
        <v>267</v>
      </c>
    </row>
    <row r="182" spans="1:20">
      <c r="A182" s="69">
        <v>4</v>
      </c>
      <c r="B182" s="51" t="s">
        <v>85</v>
      </c>
      <c r="C182" s="51"/>
      <c r="D182" s="51"/>
      <c r="E182" s="51"/>
      <c r="F182" s="51"/>
      <c r="G182" s="51">
        <v>2</v>
      </c>
      <c r="H182" s="68">
        <v>98</v>
      </c>
      <c r="I182" s="51"/>
      <c r="J182" s="51"/>
      <c r="K182" s="51"/>
      <c r="L182" s="51"/>
      <c r="M182" s="51"/>
      <c r="N182" s="51"/>
      <c r="O182" s="51"/>
      <c r="P182" s="51"/>
      <c r="Q182" s="52">
        <f t="shared" si="7"/>
        <v>3.92</v>
      </c>
      <c r="R182" s="51"/>
      <c r="S182" s="51"/>
      <c r="T182" s="1" t="s">
        <v>267</v>
      </c>
    </row>
    <row r="183" spans="1:20">
      <c r="A183" s="69">
        <v>5</v>
      </c>
      <c r="B183" s="51" t="s">
        <v>94</v>
      </c>
      <c r="C183" s="51"/>
      <c r="D183" s="51"/>
      <c r="E183" s="51"/>
      <c r="F183" s="51"/>
      <c r="G183" s="51">
        <v>2</v>
      </c>
      <c r="H183" s="68">
        <v>39</v>
      </c>
      <c r="I183" s="51"/>
      <c r="J183" s="51"/>
      <c r="K183" s="51"/>
      <c r="L183" s="51"/>
      <c r="M183" s="51"/>
      <c r="N183" s="51"/>
      <c r="O183" s="51"/>
      <c r="P183" s="51"/>
      <c r="Q183" s="52">
        <f t="shared" si="7"/>
        <v>1.56</v>
      </c>
      <c r="R183" s="51"/>
      <c r="S183" s="51"/>
      <c r="T183" s="4"/>
    </row>
    <row r="184" spans="1:20">
      <c r="A184" s="69">
        <v>6</v>
      </c>
      <c r="B184" s="51" t="s">
        <v>103</v>
      </c>
      <c r="C184" s="51"/>
      <c r="D184" s="51"/>
      <c r="E184" s="51"/>
      <c r="F184" s="51"/>
      <c r="G184" s="51">
        <v>14</v>
      </c>
      <c r="H184" s="68">
        <v>617</v>
      </c>
      <c r="I184" s="51"/>
      <c r="J184" s="51"/>
      <c r="K184" s="51"/>
      <c r="L184" s="51"/>
      <c r="M184" s="51"/>
      <c r="N184" s="51"/>
      <c r="O184" s="51"/>
      <c r="P184" s="51"/>
      <c r="Q184" s="52">
        <f t="shared" si="7"/>
        <v>24.68</v>
      </c>
      <c r="R184" s="51"/>
      <c r="S184" s="51"/>
      <c r="T184" s="1" t="s">
        <v>267</v>
      </c>
    </row>
    <row r="185" spans="1:20">
      <c r="A185" s="69">
        <v>7</v>
      </c>
      <c r="B185" s="51" t="s">
        <v>115</v>
      </c>
      <c r="C185" s="51"/>
      <c r="D185" s="51"/>
      <c r="E185" s="51"/>
      <c r="F185" s="51"/>
      <c r="G185" s="51">
        <v>17</v>
      </c>
      <c r="H185" s="68">
        <v>652</v>
      </c>
      <c r="I185" s="51"/>
      <c r="J185" s="51"/>
      <c r="K185" s="51"/>
      <c r="L185" s="51"/>
      <c r="M185" s="51"/>
      <c r="N185" s="51"/>
      <c r="O185" s="51"/>
      <c r="P185" s="51"/>
      <c r="Q185" s="52">
        <f t="shared" si="7"/>
        <v>26.080000000000002</v>
      </c>
      <c r="R185" s="51"/>
      <c r="S185" s="51"/>
      <c r="T185" s="1" t="s">
        <v>267</v>
      </c>
    </row>
    <row r="186" spans="1:20">
      <c r="A186" s="69">
        <v>8</v>
      </c>
      <c r="B186" s="51" t="s">
        <v>119</v>
      </c>
      <c r="C186" s="51"/>
      <c r="D186" s="51"/>
      <c r="E186" s="51"/>
      <c r="F186" s="51"/>
      <c r="G186" s="51">
        <v>6</v>
      </c>
      <c r="H186" s="68">
        <v>1014</v>
      </c>
      <c r="I186" s="51"/>
      <c r="J186" s="51"/>
      <c r="K186" s="51"/>
      <c r="L186" s="51"/>
      <c r="M186" s="51"/>
      <c r="N186" s="51"/>
      <c r="O186" s="51"/>
      <c r="P186" s="51"/>
      <c r="Q186" s="52">
        <f t="shared" si="7"/>
        <v>40.56</v>
      </c>
      <c r="R186" s="51"/>
      <c r="S186" s="51"/>
      <c r="T186" s="1" t="s">
        <v>268</v>
      </c>
    </row>
    <row r="187" spans="1:20">
      <c r="A187" s="69">
        <v>9</v>
      </c>
      <c r="B187" s="60" t="s">
        <v>137</v>
      </c>
      <c r="C187" s="51"/>
      <c r="D187" s="51"/>
      <c r="E187" s="51"/>
      <c r="F187" s="51"/>
      <c r="G187" s="51">
        <v>30</v>
      </c>
      <c r="H187" s="68">
        <v>727</v>
      </c>
      <c r="I187" s="51"/>
      <c r="J187" s="51"/>
      <c r="K187" s="51"/>
      <c r="L187" s="51"/>
      <c r="M187" s="51"/>
      <c r="N187" s="51"/>
      <c r="O187" s="51"/>
      <c r="P187" s="51"/>
      <c r="Q187" s="52">
        <f t="shared" si="7"/>
        <v>29.080000000000002</v>
      </c>
      <c r="R187" s="51"/>
      <c r="S187" s="51"/>
      <c r="T187" s="1" t="s">
        <v>267</v>
      </c>
    </row>
    <row r="188" spans="1:20">
      <c r="A188" s="69">
        <v>10</v>
      </c>
      <c r="B188" s="60" t="s">
        <v>138</v>
      </c>
      <c r="C188" s="51"/>
      <c r="D188" s="51"/>
      <c r="E188" s="51"/>
      <c r="F188" s="51"/>
      <c r="G188" s="51">
        <v>14</v>
      </c>
      <c r="H188" s="68">
        <v>1025</v>
      </c>
      <c r="I188" s="51"/>
      <c r="J188" s="51"/>
      <c r="K188" s="51"/>
      <c r="L188" s="51"/>
      <c r="M188" s="51"/>
      <c r="N188" s="51"/>
      <c r="O188" s="51"/>
      <c r="P188" s="51"/>
      <c r="Q188" s="52">
        <f t="shared" si="7"/>
        <v>41</v>
      </c>
      <c r="R188" s="51"/>
      <c r="S188" s="51"/>
      <c r="T188" s="1" t="s">
        <v>268</v>
      </c>
    </row>
    <row r="189" spans="1:20">
      <c r="A189" s="69">
        <v>11</v>
      </c>
      <c r="B189" s="51" t="s">
        <v>148</v>
      </c>
      <c r="C189" s="51"/>
      <c r="D189" s="51"/>
      <c r="E189" s="51"/>
      <c r="F189" s="51"/>
      <c r="G189" s="51">
        <v>2</v>
      </c>
      <c r="H189" s="68">
        <v>322</v>
      </c>
      <c r="I189" s="51"/>
      <c r="J189" s="51"/>
      <c r="K189" s="51"/>
      <c r="L189" s="51"/>
      <c r="M189" s="51"/>
      <c r="N189" s="51"/>
      <c r="O189" s="51"/>
      <c r="P189" s="51"/>
      <c r="Q189" s="52">
        <f t="shared" si="7"/>
        <v>12.88</v>
      </c>
      <c r="R189" s="51"/>
      <c r="S189" s="51"/>
      <c r="T189" s="4"/>
    </row>
    <row r="190" spans="1:20">
      <c r="A190" s="69">
        <v>12</v>
      </c>
      <c r="B190" s="51" t="s">
        <v>334</v>
      </c>
      <c r="C190" s="51"/>
      <c r="D190" s="51"/>
      <c r="E190" s="51"/>
      <c r="F190" s="51"/>
      <c r="G190" s="51">
        <v>2</v>
      </c>
      <c r="H190" s="68">
        <v>70</v>
      </c>
      <c r="I190" s="51"/>
      <c r="J190" s="51"/>
      <c r="K190" s="51"/>
      <c r="L190" s="51"/>
      <c r="M190" s="51"/>
      <c r="N190" s="51"/>
      <c r="O190" s="51"/>
      <c r="P190" s="51"/>
      <c r="Q190" s="52">
        <f t="shared" si="7"/>
        <v>2.8000000000000003</v>
      </c>
      <c r="R190" s="51"/>
      <c r="S190" s="51"/>
      <c r="T190" s="4"/>
    </row>
    <row r="191" spans="1:20">
      <c r="A191" s="69">
        <v>13</v>
      </c>
      <c r="B191" s="51" t="s">
        <v>154</v>
      </c>
      <c r="C191" s="51"/>
      <c r="D191" s="51"/>
      <c r="E191" s="51"/>
      <c r="F191" s="51"/>
      <c r="G191" s="51">
        <v>11</v>
      </c>
      <c r="H191" s="68">
        <v>136</v>
      </c>
      <c r="I191" s="51"/>
      <c r="J191" s="51"/>
      <c r="K191" s="51"/>
      <c r="L191" s="51"/>
      <c r="M191" s="51"/>
      <c r="N191" s="51"/>
      <c r="O191" s="51"/>
      <c r="P191" s="51"/>
      <c r="Q191" s="52">
        <f t="shared" si="7"/>
        <v>5.44</v>
      </c>
      <c r="R191" s="51"/>
      <c r="S191" s="51"/>
      <c r="T191" s="4"/>
    </row>
    <row r="192" spans="1:20">
      <c r="A192" s="69">
        <v>14</v>
      </c>
      <c r="B192" s="4" t="s">
        <v>335</v>
      </c>
      <c r="C192" s="51"/>
      <c r="D192" s="51"/>
      <c r="E192" s="51"/>
      <c r="F192" s="51"/>
      <c r="G192" s="51">
        <v>1</v>
      </c>
      <c r="H192" s="68">
        <v>65</v>
      </c>
      <c r="I192" s="51"/>
      <c r="J192" s="51"/>
      <c r="K192" s="51"/>
      <c r="L192" s="51"/>
      <c r="M192" s="51"/>
      <c r="N192" s="51"/>
      <c r="O192" s="51"/>
      <c r="P192" s="51"/>
      <c r="Q192" s="52">
        <f t="shared" si="7"/>
        <v>2.6</v>
      </c>
      <c r="R192" s="51"/>
      <c r="S192" s="51"/>
      <c r="T192" s="4"/>
    </row>
    <row r="193" spans="1:20">
      <c r="A193" s="69">
        <v>15</v>
      </c>
      <c r="B193" s="51" t="s">
        <v>177</v>
      </c>
      <c r="C193" s="51"/>
      <c r="D193" s="51"/>
      <c r="E193" s="51"/>
      <c r="F193" s="51"/>
      <c r="G193" s="51">
        <v>4</v>
      </c>
      <c r="H193" s="68">
        <v>351</v>
      </c>
      <c r="I193" s="51"/>
      <c r="J193" s="51"/>
      <c r="K193" s="51"/>
      <c r="L193" s="51"/>
      <c r="M193" s="51"/>
      <c r="N193" s="51"/>
      <c r="O193" s="51"/>
      <c r="P193" s="51"/>
      <c r="Q193" s="52">
        <f t="shared" si="7"/>
        <v>14.040000000000001</v>
      </c>
      <c r="R193" s="51"/>
      <c r="S193" s="51"/>
      <c r="T193" s="4"/>
    </row>
    <row r="194" spans="1:20">
      <c r="A194" s="69">
        <v>16</v>
      </c>
      <c r="B194" s="51" t="s">
        <v>181</v>
      </c>
      <c r="C194" s="51"/>
      <c r="D194" s="51"/>
      <c r="E194" s="51"/>
      <c r="F194" s="51"/>
      <c r="G194" s="51">
        <v>1</v>
      </c>
      <c r="H194" s="68">
        <v>151</v>
      </c>
      <c r="I194" s="51"/>
      <c r="J194" s="51"/>
      <c r="K194" s="51"/>
      <c r="L194" s="51"/>
      <c r="M194" s="51"/>
      <c r="N194" s="51"/>
      <c r="O194" s="51"/>
      <c r="P194" s="51"/>
      <c r="Q194" s="52">
        <f t="shared" si="7"/>
        <v>6.04</v>
      </c>
      <c r="R194" s="51"/>
      <c r="S194" s="51"/>
      <c r="T194" s="4"/>
    </row>
    <row r="195" spans="1:20">
      <c r="A195" s="69">
        <v>17</v>
      </c>
      <c r="B195" s="51" t="s">
        <v>183</v>
      </c>
      <c r="C195" s="51"/>
      <c r="D195" s="51"/>
      <c r="E195" s="51"/>
      <c r="F195" s="51"/>
      <c r="G195" s="51">
        <v>16</v>
      </c>
      <c r="H195" s="68">
        <v>612</v>
      </c>
      <c r="I195" s="51"/>
      <c r="J195" s="51"/>
      <c r="K195" s="51"/>
      <c r="L195" s="51"/>
      <c r="M195" s="51"/>
      <c r="N195" s="51"/>
      <c r="O195" s="51"/>
      <c r="P195" s="51"/>
      <c r="Q195" s="52">
        <f t="shared" si="7"/>
        <v>24.48</v>
      </c>
      <c r="R195" s="51"/>
      <c r="S195" s="51"/>
      <c r="T195" s="1" t="s">
        <v>268</v>
      </c>
    </row>
    <row r="196" spans="1:20">
      <c r="A196" s="69">
        <v>18</v>
      </c>
      <c r="B196" s="51" t="s">
        <v>336</v>
      </c>
      <c r="C196" s="51"/>
      <c r="D196" s="51"/>
      <c r="E196" s="51"/>
      <c r="F196" s="51"/>
      <c r="G196" s="51">
        <v>2</v>
      </c>
      <c r="H196" s="68">
        <v>145</v>
      </c>
      <c r="I196" s="51"/>
      <c r="J196" s="51"/>
      <c r="K196" s="51"/>
      <c r="L196" s="51"/>
      <c r="M196" s="51"/>
      <c r="N196" s="51"/>
      <c r="O196" s="51"/>
      <c r="P196" s="51"/>
      <c r="Q196" s="52">
        <f t="shared" si="7"/>
        <v>5.8</v>
      </c>
      <c r="R196" s="51"/>
      <c r="S196" s="51"/>
      <c r="T196" s="4"/>
    </row>
    <row r="197" spans="1:20">
      <c r="A197" s="69">
        <v>19</v>
      </c>
      <c r="B197" s="51" t="s">
        <v>191</v>
      </c>
      <c r="C197" s="51"/>
      <c r="D197" s="51"/>
      <c r="E197" s="51"/>
      <c r="F197" s="51"/>
      <c r="G197" s="51">
        <v>2</v>
      </c>
      <c r="H197" s="68">
        <v>101</v>
      </c>
      <c r="I197" s="51"/>
      <c r="J197" s="51"/>
      <c r="K197" s="51"/>
      <c r="L197" s="51"/>
      <c r="M197" s="51"/>
      <c r="N197" s="51"/>
      <c r="O197" s="51"/>
      <c r="P197" s="51"/>
      <c r="Q197" s="52">
        <f t="shared" si="7"/>
        <v>4.04</v>
      </c>
      <c r="R197" s="51"/>
      <c r="S197" s="51"/>
      <c r="T197" s="1" t="s">
        <v>267</v>
      </c>
    </row>
    <row r="198" spans="1:20">
      <c r="A198" s="69">
        <v>20</v>
      </c>
      <c r="B198" s="51" t="s">
        <v>192</v>
      </c>
      <c r="C198" s="51"/>
      <c r="D198" s="51"/>
      <c r="E198" s="51"/>
      <c r="F198" s="51"/>
      <c r="G198" s="51">
        <v>16</v>
      </c>
      <c r="H198" s="68">
        <v>343</v>
      </c>
      <c r="I198" s="51"/>
      <c r="J198" s="51"/>
      <c r="K198" s="51"/>
      <c r="L198" s="51"/>
      <c r="M198" s="51"/>
      <c r="N198" s="51"/>
      <c r="O198" s="51"/>
      <c r="P198" s="51"/>
      <c r="Q198" s="52">
        <f t="shared" si="7"/>
        <v>13.72</v>
      </c>
      <c r="R198" s="51"/>
      <c r="S198" s="51"/>
      <c r="T198" s="1" t="s">
        <v>267</v>
      </c>
    </row>
    <row r="199" spans="1:20">
      <c r="A199" s="69">
        <v>21</v>
      </c>
      <c r="B199" s="51" t="s">
        <v>337</v>
      </c>
      <c r="C199" s="51"/>
      <c r="D199" s="51"/>
      <c r="E199" s="51"/>
      <c r="F199" s="51"/>
      <c r="G199" s="51">
        <v>1</v>
      </c>
      <c r="H199" s="68">
        <v>67</v>
      </c>
      <c r="I199" s="51"/>
      <c r="J199" s="51"/>
      <c r="K199" s="51"/>
      <c r="L199" s="51"/>
      <c r="M199" s="51"/>
      <c r="N199" s="51"/>
      <c r="O199" s="51"/>
      <c r="P199" s="51"/>
      <c r="Q199" s="52">
        <f t="shared" si="7"/>
        <v>2.68</v>
      </c>
      <c r="R199" s="51"/>
      <c r="S199" s="51"/>
      <c r="T199" s="4"/>
    </row>
    <row r="200" spans="1:20">
      <c r="A200" s="69">
        <v>22</v>
      </c>
      <c r="B200" s="51" t="s">
        <v>197</v>
      </c>
      <c r="C200" s="51"/>
      <c r="D200" s="51"/>
      <c r="E200" s="51"/>
      <c r="F200" s="51"/>
      <c r="G200" s="51">
        <v>1</v>
      </c>
      <c r="H200" s="68">
        <v>205</v>
      </c>
      <c r="I200" s="51"/>
      <c r="J200" s="51"/>
      <c r="K200" s="51"/>
      <c r="L200" s="51"/>
      <c r="M200" s="51"/>
      <c r="N200" s="51"/>
      <c r="O200" s="51"/>
      <c r="P200" s="51"/>
      <c r="Q200" s="52">
        <f t="shared" si="7"/>
        <v>8.1999999999999993</v>
      </c>
      <c r="R200" s="51"/>
      <c r="S200" s="51"/>
      <c r="T200" s="4"/>
    </row>
    <row r="201" spans="1:20">
      <c r="A201" s="69">
        <v>23</v>
      </c>
      <c r="B201" s="51" t="s">
        <v>200</v>
      </c>
      <c r="C201" s="51"/>
      <c r="D201" s="51"/>
      <c r="E201" s="51"/>
      <c r="F201" s="51"/>
      <c r="G201" s="51">
        <v>1</v>
      </c>
      <c r="H201" s="68">
        <v>124</v>
      </c>
      <c r="I201" s="51"/>
      <c r="J201" s="51"/>
      <c r="K201" s="51"/>
      <c r="L201" s="51"/>
      <c r="M201" s="51"/>
      <c r="N201" s="51"/>
      <c r="O201" s="51"/>
      <c r="P201" s="51"/>
      <c r="Q201" s="52">
        <f t="shared" si="7"/>
        <v>4.96</v>
      </c>
      <c r="R201" s="51"/>
      <c r="S201" s="51"/>
      <c r="T201" s="4"/>
    </row>
    <row r="202" spans="1:20">
      <c r="A202" s="69">
        <v>24</v>
      </c>
      <c r="B202" s="60" t="s">
        <v>202</v>
      </c>
      <c r="C202" s="51"/>
      <c r="D202" s="51"/>
      <c r="E202" s="51"/>
      <c r="F202" s="51"/>
      <c r="G202" s="51">
        <v>2</v>
      </c>
      <c r="H202" s="68">
        <v>221</v>
      </c>
      <c r="I202" s="51"/>
      <c r="J202" s="51"/>
      <c r="K202" s="51"/>
      <c r="L202" s="51"/>
      <c r="M202" s="51"/>
      <c r="N202" s="51"/>
      <c r="O202" s="51"/>
      <c r="P202" s="51"/>
      <c r="Q202" s="52">
        <f t="shared" si="7"/>
        <v>8.84</v>
      </c>
      <c r="R202" s="51"/>
      <c r="S202" s="51"/>
      <c r="T202" s="1" t="s">
        <v>267</v>
      </c>
    </row>
    <row r="203" spans="1:20">
      <c r="A203" s="69">
        <v>25</v>
      </c>
      <c r="B203" s="60" t="s">
        <v>211</v>
      </c>
      <c r="C203" s="51"/>
      <c r="D203" s="51"/>
      <c r="E203" s="51"/>
      <c r="F203" s="51"/>
      <c r="G203" s="51">
        <v>10</v>
      </c>
      <c r="H203" s="68">
        <v>699</v>
      </c>
      <c r="I203" s="51"/>
      <c r="J203" s="51"/>
      <c r="K203" s="51"/>
      <c r="L203" s="51"/>
      <c r="M203" s="51"/>
      <c r="N203" s="51"/>
      <c r="O203" s="51"/>
      <c r="P203" s="51"/>
      <c r="Q203" s="52">
        <f t="shared" si="7"/>
        <v>27.96</v>
      </c>
      <c r="R203" s="51"/>
      <c r="S203" s="51"/>
      <c r="T203" s="1" t="s">
        <v>267</v>
      </c>
    </row>
    <row r="204" spans="1:20">
      <c r="A204" s="69">
        <v>26</v>
      </c>
      <c r="B204" s="60" t="s">
        <v>212</v>
      </c>
      <c r="C204" s="51"/>
      <c r="D204" s="51"/>
      <c r="E204" s="51"/>
      <c r="F204" s="51"/>
      <c r="G204" s="51">
        <v>3</v>
      </c>
      <c r="H204" s="68">
        <v>543</v>
      </c>
      <c r="I204" s="51"/>
      <c r="J204" s="51"/>
      <c r="K204" s="51"/>
      <c r="L204" s="51"/>
      <c r="M204" s="51"/>
      <c r="N204" s="51"/>
      <c r="O204" s="51"/>
      <c r="P204" s="51"/>
      <c r="Q204" s="52">
        <f t="shared" si="7"/>
        <v>21.72</v>
      </c>
      <c r="R204" s="51"/>
      <c r="S204" s="51"/>
      <c r="T204" s="1" t="s">
        <v>272</v>
      </c>
    </row>
    <row r="205" spans="1:20">
      <c r="A205" s="69">
        <v>27</v>
      </c>
      <c r="B205" s="60" t="s">
        <v>222</v>
      </c>
      <c r="C205" s="51"/>
      <c r="D205" s="51"/>
      <c r="E205" s="51"/>
      <c r="F205" s="51"/>
      <c r="G205" s="51">
        <v>13</v>
      </c>
      <c r="H205" s="68">
        <v>422</v>
      </c>
      <c r="I205" s="51"/>
      <c r="J205" s="51"/>
      <c r="K205" s="51"/>
      <c r="L205" s="51"/>
      <c r="M205" s="51"/>
      <c r="N205" s="51"/>
      <c r="O205" s="51"/>
      <c r="P205" s="51"/>
      <c r="Q205" s="52">
        <f t="shared" si="7"/>
        <v>16.88</v>
      </c>
      <c r="R205" s="51"/>
      <c r="S205" s="51"/>
      <c r="T205" s="1" t="s">
        <v>267</v>
      </c>
    </row>
    <row r="206" spans="1:20">
      <c r="A206" s="69">
        <v>28</v>
      </c>
      <c r="B206" s="60" t="s">
        <v>339</v>
      </c>
      <c r="C206" s="51"/>
      <c r="D206" s="51"/>
      <c r="E206" s="51"/>
      <c r="F206" s="51"/>
      <c r="G206" s="51">
        <v>2</v>
      </c>
      <c r="H206" s="68">
        <v>95</v>
      </c>
      <c r="I206" s="51"/>
      <c r="J206" s="51"/>
      <c r="K206" s="51"/>
      <c r="L206" s="51"/>
      <c r="M206" s="51"/>
      <c r="N206" s="51"/>
      <c r="O206" s="51"/>
      <c r="P206" s="51"/>
      <c r="Q206" s="52">
        <f t="shared" si="7"/>
        <v>3.8000000000000003</v>
      </c>
      <c r="R206" s="51"/>
      <c r="S206" s="51"/>
      <c r="T206" s="7"/>
    </row>
    <row r="207" spans="1:20">
      <c r="A207" s="69">
        <v>29</v>
      </c>
      <c r="B207" s="51" t="s">
        <v>340</v>
      </c>
      <c r="C207" s="51"/>
      <c r="D207" s="51"/>
      <c r="E207" s="51"/>
      <c r="F207" s="51"/>
      <c r="G207" s="51">
        <v>1</v>
      </c>
      <c r="H207" s="68">
        <v>118</v>
      </c>
      <c r="I207" s="51"/>
      <c r="J207" s="51"/>
      <c r="K207" s="51"/>
      <c r="L207" s="51"/>
      <c r="M207" s="51"/>
      <c r="N207" s="51"/>
      <c r="O207" s="51"/>
      <c r="P207" s="51"/>
      <c r="Q207" s="52">
        <f t="shared" si="7"/>
        <v>4.72</v>
      </c>
      <c r="R207" s="51"/>
      <c r="S207" s="51"/>
      <c r="T207" s="1" t="s">
        <v>272</v>
      </c>
    </row>
    <row r="208" spans="1:20" s="54" customFormat="1">
      <c r="A208" s="70" t="s">
        <v>257</v>
      </c>
      <c r="B208" s="64" t="s">
        <v>258</v>
      </c>
      <c r="C208" s="53"/>
      <c r="D208" s="53"/>
      <c r="E208" s="53"/>
      <c r="F208" s="53"/>
      <c r="G208" s="53">
        <f>SUM(G209:G219)</f>
        <v>57</v>
      </c>
      <c r="H208" s="67">
        <f t="shared" ref="H208:Q208" si="8">SUM(H209:H219)</f>
        <v>4232</v>
      </c>
      <c r="I208" s="53"/>
      <c r="J208" s="53"/>
      <c r="K208" s="53"/>
      <c r="L208" s="53"/>
      <c r="M208" s="53"/>
      <c r="N208" s="53"/>
      <c r="O208" s="53"/>
      <c r="P208" s="53"/>
      <c r="Q208" s="62">
        <f t="shared" si="8"/>
        <v>169.27999999999997</v>
      </c>
      <c r="R208" s="53"/>
      <c r="S208" s="53"/>
      <c r="T208" s="53"/>
    </row>
    <row r="209" spans="1:20">
      <c r="A209" s="69">
        <v>1</v>
      </c>
      <c r="B209" s="51" t="s">
        <v>48</v>
      </c>
      <c r="C209" s="51"/>
      <c r="D209" s="51"/>
      <c r="E209" s="51"/>
      <c r="F209" s="51"/>
      <c r="G209" s="51">
        <v>6</v>
      </c>
      <c r="H209" s="68">
        <v>432</v>
      </c>
      <c r="I209" s="51"/>
      <c r="J209" s="51"/>
      <c r="K209" s="51"/>
      <c r="L209" s="51"/>
      <c r="M209" s="51"/>
      <c r="N209" s="51"/>
      <c r="O209" s="51"/>
      <c r="P209" s="51"/>
      <c r="Q209" s="52">
        <f>H209*0.04</f>
        <v>17.28</v>
      </c>
      <c r="R209" s="51"/>
      <c r="S209" s="51"/>
      <c r="T209" s="4"/>
    </row>
    <row r="210" spans="1:20">
      <c r="A210" s="69">
        <v>2</v>
      </c>
      <c r="B210" s="51" t="s">
        <v>139</v>
      </c>
      <c r="C210" s="51"/>
      <c r="D210" s="51"/>
      <c r="E210" s="51"/>
      <c r="F210" s="51"/>
      <c r="G210" s="51">
        <v>3</v>
      </c>
      <c r="H210" s="68">
        <v>760</v>
      </c>
      <c r="I210" s="51"/>
      <c r="J210" s="51"/>
      <c r="K210" s="51"/>
      <c r="L210" s="51"/>
      <c r="M210" s="51"/>
      <c r="N210" s="51"/>
      <c r="O210" s="51"/>
      <c r="P210" s="51"/>
      <c r="Q210" s="52">
        <f t="shared" ref="Q210:Q219" si="9">H210*0.04</f>
        <v>30.400000000000002</v>
      </c>
      <c r="R210" s="51"/>
      <c r="S210" s="51"/>
      <c r="T210" s="4" t="s">
        <v>271</v>
      </c>
    </row>
    <row r="211" spans="1:20">
      <c r="A211" s="69">
        <v>3</v>
      </c>
      <c r="B211" s="51" t="s">
        <v>149</v>
      </c>
      <c r="C211" s="51"/>
      <c r="D211" s="51"/>
      <c r="E211" s="51"/>
      <c r="F211" s="51"/>
      <c r="G211" s="51">
        <v>2</v>
      </c>
      <c r="H211" s="68">
        <v>242</v>
      </c>
      <c r="I211" s="51"/>
      <c r="J211" s="51"/>
      <c r="K211" s="51"/>
      <c r="L211" s="51"/>
      <c r="M211" s="51"/>
      <c r="N211" s="51"/>
      <c r="O211" s="51"/>
      <c r="P211" s="51"/>
      <c r="Q211" s="52">
        <f t="shared" si="9"/>
        <v>9.68</v>
      </c>
      <c r="R211" s="51"/>
      <c r="S211" s="51"/>
      <c r="T211" s="4"/>
    </row>
    <row r="212" spans="1:20">
      <c r="A212" s="69">
        <v>4</v>
      </c>
      <c r="B212" s="51" t="s">
        <v>150</v>
      </c>
      <c r="C212" s="51"/>
      <c r="D212" s="51"/>
      <c r="E212" s="51"/>
      <c r="F212" s="51"/>
      <c r="G212" s="51">
        <v>10</v>
      </c>
      <c r="H212" s="68">
        <v>742</v>
      </c>
      <c r="I212" s="51"/>
      <c r="J212" s="51"/>
      <c r="K212" s="51"/>
      <c r="L212" s="51"/>
      <c r="M212" s="51"/>
      <c r="N212" s="51"/>
      <c r="O212" s="51"/>
      <c r="P212" s="51"/>
      <c r="Q212" s="52">
        <f t="shared" si="9"/>
        <v>29.68</v>
      </c>
      <c r="R212" s="51"/>
      <c r="S212" s="51"/>
      <c r="T212" s="4" t="s">
        <v>268</v>
      </c>
    </row>
    <row r="213" spans="1:20">
      <c r="A213" s="69">
        <v>5</v>
      </c>
      <c r="B213" s="51" t="s">
        <v>187</v>
      </c>
      <c r="C213" s="51"/>
      <c r="D213" s="51"/>
      <c r="E213" s="51"/>
      <c r="F213" s="51"/>
      <c r="G213" s="51">
        <v>14</v>
      </c>
      <c r="H213" s="68">
        <v>758</v>
      </c>
      <c r="I213" s="51"/>
      <c r="J213" s="51"/>
      <c r="K213" s="51"/>
      <c r="L213" s="51"/>
      <c r="M213" s="51"/>
      <c r="N213" s="51"/>
      <c r="O213" s="51"/>
      <c r="P213" s="51"/>
      <c r="Q213" s="52">
        <f t="shared" si="9"/>
        <v>30.32</v>
      </c>
      <c r="R213" s="51"/>
      <c r="S213" s="51"/>
      <c r="T213" s="4" t="s">
        <v>271</v>
      </c>
    </row>
    <row r="214" spans="1:20">
      <c r="A214" s="69">
        <v>6</v>
      </c>
      <c r="B214" s="51" t="s">
        <v>198</v>
      </c>
      <c r="C214" s="51"/>
      <c r="D214" s="51"/>
      <c r="E214" s="51"/>
      <c r="F214" s="51"/>
      <c r="G214" s="51">
        <v>2</v>
      </c>
      <c r="H214" s="68">
        <v>56</v>
      </c>
      <c r="I214" s="51"/>
      <c r="J214" s="51"/>
      <c r="K214" s="51"/>
      <c r="L214" s="51"/>
      <c r="M214" s="51"/>
      <c r="N214" s="51"/>
      <c r="O214" s="51"/>
      <c r="P214" s="51"/>
      <c r="Q214" s="52">
        <f t="shared" si="9"/>
        <v>2.2400000000000002</v>
      </c>
      <c r="R214" s="51"/>
      <c r="S214" s="51"/>
      <c r="T214" s="4"/>
    </row>
    <row r="215" spans="1:20">
      <c r="A215" s="69">
        <v>7</v>
      </c>
      <c r="B215" s="60" t="s">
        <v>213</v>
      </c>
      <c r="C215" s="51"/>
      <c r="D215" s="51"/>
      <c r="E215" s="51"/>
      <c r="F215" s="51"/>
      <c r="G215" s="51">
        <v>10</v>
      </c>
      <c r="H215" s="68">
        <v>278</v>
      </c>
      <c r="I215" s="51"/>
      <c r="J215" s="51"/>
      <c r="K215" s="51"/>
      <c r="L215" s="51"/>
      <c r="M215" s="51"/>
      <c r="N215" s="51"/>
      <c r="O215" s="51"/>
      <c r="P215" s="51"/>
      <c r="Q215" s="52">
        <f t="shared" si="9"/>
        <v>11.120000000000001</v>
      </c>
      <c r="R215" s="51"/>
      <c r="S215" s="51"/>
      <c r="T215" s="4" t="s">
        <v>267</v>
      </c>
    </row>
    <row r="216" spans="1:20">
      <c r="A216" s="69">
        <v>8</v>
      </c>
      <c r="B216" s="60" t="s">
        <v>214</v>
      </c>
      <c r="C216" s="51"/>
      <c r="D216" s="51"/>
      <c r="E216" s="51"/>
      <c r="F216" s="51"/>
      <c r="G216" s="51">
        <v>3</v>
      </c>
      <c r="H216" s="68">
        <v>272</v>
      </c>
      <c r="I216" s="51"/>
      <c r="J216" s="51"/>
      <c r="K216" s="51"/>
      <c r="L216" s="51"/>
      <c r="M216" s="51"/>
      <c r="N216" s="51"/>
      <c r="O216" s="51"/>
      <c r="P216" s="51"/>
      <c r="Q216" s="52">
        <f t="shared" si="9"/>
        <v>10.88</v>
      </c>
      <c r="R216" s="51"/>
      <c r="S216" s="51"/>
      <c r="T216" s="7"/>
    </row>
    <row r="217" spans="1:20">
      <c r="A217" s="69">
        <v>9</v>
      </c>
      <c r="B217" s="60" t="s">
        <v>225</v>
      </c>
      <c r="C217" s="51"/>
      <c r="D217" s="51"/>
      <c r="E217" s="51"/>
      <c r="F217" s="51"/>
      <c r="G217" s="51">
        <v>3</v>
      </c>
      <c r="H217" s="68">
        <v>265</v>
      </c>
      <c r="I217" s="51"/>
      <c r="J217" s="51"/>
      <c r="K217" s="51"/>
      <c r="L217" s="51"/>
      <c r="M217" s="51"/>
      <c r="N217" s="51"/>
      <c r="O217" s="51"/>
      <c r="P217" s="51"/>
      <c r="Q217" s="52">
        <f t="shared" si="9"/>
        <v>10.6</v>
      </c>
      <c r="R217" s="51"/>
      <c r="S217" s="51"/>
      <c r="T217" s="4" t="s">
        <v>267</v>
      </c>
    </row>
    <row r="218" spans="1:20">
      <c r="A218" s="69">
        <v>10</v>
      </c>
      <c r="B218" s="60" t="s">
        <v>233</v>
      </c>
      <c r="C218" s="51"/>
      <c r="D218" s="51"/>
      <c r="E218" s="51"/>
      <c r="F218" s="51"/>
      <c r="G218" s="51">
        <v>3</v>
      </c>
      <c r="H218" s="68">
        <v>211</v>
      </c>
      <c r="I218" s="51"/>
      <c r="J218" s="51"/>
      <c r="K218" s="51"/>
      <c r="L218" s="51"/>
      <c r="M218" s="51"/>
      <c r="N218" s="51"/>
      <c r="O218" s="51"/>
      <c r="P218" s="51"/>
      <c r="Q218" s="52">
        <f t="shared" si="9"/>
        <v>8.44</v>
      </c>
      <c r="R218" s="51"/>
      <c r="S218" s="51"/>
      <c r="T218" s="4"/>
    </row>
    <row r="219" spans="1:20">
      <c r="A219" s="69">
        <v>11</v>
      </c>
      <c r="B219" s="51" t="s">
        <v>240</v>
      </c>
      <c r="C219" s="51"/>
      <c r="D219" s="51"/>
      <c r="E219" s="51"/>
      <c r="F219" s="51"/>
      <c r="G219" s="51">
        <v>1</v>
      </c>
      <c r="H219" s="68">
        <v>216</v>
      </c>
      <c r="I219" s="51"/>
      <c r="J219" s="51"/>
      <c r="K219" s="51"/>
      <c r="L219" s="51"/>
      <c r="M219" s="51"/>
      <c r="N219" s="51"/>
      <c r="O219" s="51"/>
      <c r="P219" s="51"/>
      <c r="Q219" s="52">
        <f t="shared" si="9"/>
        <v>8.64</v>
      </c>
      <c r="R219" s="51"/>
      <c r="S219" s="51"/>
      <c r="T219" s="4" t="s">
        <v>272</v>
      </c>
    </row>
    <row r="220" spans="1:20" s="54" customFormat="1" ht="23.25" customHeight="1">
      <c r="A220" s="70" t="s">
        <v>259</v>
      </c>
      <c r="B220" s="64" t="s">
        <v>260</v>
      </c>
      <c r="C220" s="53"/>
      <c r="D220" s="53"/>
      <c r="E220" s="53"/>
      <c r="F220" s="53"/>
      <c r="G220" s="53">
        <f>G221</f>
        <v>2</v>
      </c>
      <c r="H220" s="67">
        <f t="shared" ref="H220:Q220" si="10">H221</f>
        <v>106</v>
      </c>
      <c r="I220" s="53"/>
      <c r="J220" s="53"/>
      <c r="K220" s="53"/>
      <c r="L220" s="53"/>
      <c r="M220" s="53"/>
      <c r="N220" s="53"/>
      <c r="O220" s="53"/>
      <c r="P220" s="53"/>
      <c r="Q220" s="62">
        <f t="shared" si="10"/>
        <v>4.24</v>
      </c>
      <c r="R220" s="53"/>
      <c r="S220" s="53"/>
      <c r="T220" s="53"/>
    </row>
    <row r="221" spans="1:20">
      <c r="A221" s="69">
        <v>1</v>
      </c>
      <c r="B221" s="65" t="s">
        <v>22</v>
      </c>
      <c r="C221" s="51"/>
      <c r="D221" s="51"/>
      <c r="E221" s="51"/>
      <c r="F221" s="51"/>
      <c r="G221" s="51">
        <v>2</v>
      </c>
      <c r="H221" s="68">
        <v>106</v>
      </c>
      <c r="I221" s="51"/>
      <c r="J221" s="51"/>
      <c r="K221" s="51"/>
      <c r="L221" s="51"/>
      <c r="M221" s="51"/>
      <c r="N221" s="51"/>
      <c r="O221" s="51"/>
      <c r="P221" s="51"/>
      <c r="Q221" s="52">
        <f>H221*0.04</f>
        <v>4.24</v>
      </c>
      <c r="R221" s="51"/>
      <c r="S221" s="51"/>
      <c r="T221" s="1" t="s">
        <v>267</v>
      </c>
    </row>
    <row r="222" spans="1:20" s="54" customFormat="1">
      <c r="A222" s="70" t="s">
        <v>261</v>
      </c>
      <c r="B222" s="53" t="s">
        <v>243</v>
      </c>
      <c r="C222" s="53"/>
      <c r="D222" s="53"/>
      <c r="E222" s="53"/>
      <c r="F222" s="53"/>
      <c r="G222" s="53">
        <f>G223+G224</f>
        <v>47</v>
      </c>
      <c r="H222" s="67">
        <f>H223+H224</f>
        <v>2282</v>
      </c>
      <c r="I222" s="53"/>
      <c r="J222" s="53"/>
      <c r="K222" s="53"/>
      <c r="L222" s="53"/>
      <c r="M222" s="53"/>
      <c r="N222" s="53"/>
      <c r="O222" s="53"/>
      <c r="P222" s="53"/>
      <c r="Q222" s="62">
        <f t="shared" ref="Q222" si="11">Q223+Q224</f>
        <v>91.28</v>
      </c>
      <c r="R222" s="53"/>
      <c r="S222" s="53"/>
      <c r="T222" s="53"/>
    </row>
    <row r="223" spans="1:20">
      <c r="A223" s="69">
        <v>1</v>
      </c>
      <c r="B223" s="61" t="s">
        <v>117</v>
      </c>
      <c r="C223" s="51"/>
      <c r="D223" s="51"/>
      <c r="E223" s="51"/>
      <c r="F223" s="51"/>
      <c r="G223" s="51">
        <v>3</v>
      </c>
      <c r="H223" s="68">
        <v>277</v>
      </c>
      <c r="I223" s="51"/>
      <c r="J223" s="51"/>
      <c r="K223" s="51"/>
      <c r="L223" s="51"/>
      <c r="M223" s="51"/>
      <c r="N223" s="51"/>
      <c r="O223" s="51"/>
      <c r="P223" s="51"/>
      <c r="Q223" s="52">
        <f>H223*0.04</f>
        <v>11.08</v>
      </c>
      <c r="R223" s="51"/>
      <c r="S223" s="51"/>
      <c r="T223" s="51"/>
    </row>
    <row r="224" spans="1:20">
      <c r="A224" s="69">
        <v>2</v>
      </c>
      <c r="B224" s="61" t="s">
        <v>189</v>
      </c>
      <c r="C224" s="51"/>
      <c r="D224" s="51"/>
      <c r="E224" s="51"/>
      <c r="F224" s="51"/>
      <c r="G224" s="51">
        <v>44</v>
      </c>
      <c r="H224" s="68">
        <v>2005</v>
      </c>
      <c r="I224" s="51"/>
      <c r="J224" s="51"/>
      <c r="K224" s="51"/>
      <c r="L224" s="51"/>
      <c r="M224" s="51"/>
      <c r="N224" s="51"/>
      <c r="O224" s="51"/>
      <c r="P224" s="51"/>
      <c r="Q224" s="52">
        <f>H224*0.04</f>
        <v>80.2</v>
      </c>
      <c r="R224" s="51"/>
      <c r="S224" s="51"/>
      <c r="T224" s="1" t="s">
        <v>268</v>
      </c>
    </row>
    <row r="225" spans="1:20" s="54" customFormat="1">
      <c r="A225" s="70" t="s">
        <v>262</v>
      </c>
      <c r="B225" s="53" t="s">
        <v>263</v>
      </c>
      <c r="C225" s="53"/>
      <c r="D225" s="53"/>
      <c r="E225" s="53"/>
      <c r="F225" s="53"/>
      <c r="G225" s="53">
        <f>G226</f>
        <v>3</v>
      </c>
      <c r="H225" s="67">
        <f t="shared" ref="H225:Q225" si="12">H226</f>
        <v>36</v>
      </c>
      <c r="I225" s="53"/>
      <c r="J225" s="53"/>
      <c r="K225" s="53"/>
      <c r="L225" s="53"/>
      <c r="M225" s="53"/>
      <c r="N225" s="53"/>
      <c r="O225" s="53"/>
      <c r="P225" s="53"/>
      <c r="Q225" s="62">
        <f t="shared" si="12"/>
        <v>1.44</v>
      </c>
      <c r="R225" s="53"/>
      <c r="S225" s="53"/>
      <c r="T225" s="26"/>
    </row>
    <row r="226" spans="1:20">
      <c r="A226" s="69">
        <v>1</v>
      </c>
      <c r="B226" s="61" t="s">
        <v>141</v>
      </c>
      <c r="C226" s="51"/>
      <c r="D226" s="51"/>
      <c r="E226" s="51"/>
      <c r="F226" s="51"/>
      <c r="G226" s="51">
        <v>3</v>
      </c>
      <c r="H226" s="68">
        <v>36</v>
      </c>
      <c r="I226" s="51"/>
      <c r="J226" s="51"/>
      <c r="K226" s="51"/>
      <c r="L226" s="51"/>
      <c r="M226" s="51"/>
      <c r="N226" s="51"/>
      <c r="O226" s="51"/>
      <c r="P226" s="51"/>
      <c r="Q226" s="52">
        <f>H226*0.04</f>
        <v>1.44</v>
      </c>
      <c r="R226" s="51"/>
      <c r="S226" s="51"/>
      <c r="T226" s="1" t="s">
        <v>267</v>
      </c>
    </row>
    <row r="227" spans="1:20" s="54" customFormat="1">
      <c r="A227" s="70" t="s">
        <v>264</v>
      </c>
      <c r="B227" s="53" t="s">
        <v>235</v>
      </c>
      <c r="C227" s="53"/>
      <c r="D227" s="53"/>
      <c r="E227" s="53"/>
      <c r="F227" s="53"/>
      <c r="G227" s="53">
        <f>G228</f>
        <v>4</v>
      </c>
      <c r="H227" s="67">
        <f>H228</f>
        <v>239</v>
      </c>
      <c r="I227" s="53"/>
      <c r="J227" s="53"/>
      <c r="K227" s="53"/>
      <c r="L227" s="53"/>
      <c r="M227" s="53"/>
      <c r="N227" s="53"/>
      <c r="O227" s="53"/>
      <c r="P227" s="53"/>
      <c r="Q227" s="62">
        <f t="shared" ref="Q227" si="13">Q228</f>
        <v>9.56</v>
      </c>
      <c r="R227" s="53"/>
      <c r="S227" s="53"/>
      <c r="T227" s="26"/>
    </row>
    <row r="228" spans="1:20">
      <c r="A228" s="69">
        <v>1</v>
      </c>
      <c r="B228" s="63" t="s">
        <v>321</v>
      </c>
      <c r="C228" s="51"/>
      <c r="D228" s="51"/>
      <c r="E228" s="51"/>
      <c r="F228" s="51"/>
      <c r="G228" s="51">
        <v>4</v>
      </c>
      <c r="H228" s="68">
        <v>239</v>
      </c>
      <c r="I228" s="51"/>
      <c r="J228" s="51"/>
      <c r="K228" s="51"/>
      <c r="L228" s="51"/>
      <c r="M228" s="51"/>
      <c r="N228" s="51"/>
      <c r="O228" s="51"/>
      <c r="P228" s="51"/>
      <c r="Q228" s="52">
        <f>H228*0.04</f>
        <v>9.56</v>
      </c>
      <c r="R228" s="51"/>
      <c r="S228" s="51"/>
      <c r="T228" s="1" t="s">
        <v>267</v>
      </c>
    </row>
    <row r="229" spans="1:20" s="54" customFormat="1">
      <c r="A229" s="70" t="s">
        <v>265</v>
      </c>
      <c r="B229" s="53" t="s">
        <v>266</v>
      </c>
      <c r="C229" s="53"/>
      <c r="D229" s="53"/>
      <c r="E229" s="53"/>
      <c r="F229" s="53"/>
      <c r="G229" s="53">
        <f>G230+G231</f>
        <v>7</v>
      </c>
      <c r="H229" s="67">
        <f t="shared" ref="H229:Q229" si="14">H230+H231</f>
        <v>240</v>
      </c>
      <c r="I229" s="53"/>
      <c r="J229" s="53"/>
      <c r="K229" s="53"/>
      <c r="L229" s="53"/>
      <c r="M229" s="53"/>
      <c r="N229" s="53"/>
      <c r="O229" s="53"/>
      <c r="P229" s="53"/>
      <c r="Q229" s="62">
        <f t="shared" si="14"/>
        <v>9.6000000000000014</v>
      </c>
      <c r="R229" s="53"/>
      <c r="S229" s="53"/>
      <c r="T229" s="30"/>
    </row>
    <row r="230" spans="1:20">
      <c r="A230" s="69">
        <v>1</v>
      </c>
      <c r="B230" s="61" t="s">
        <v>161</v>
      </c>
      <c r="C230" s="51"/>
      <c r="D230" s="51"/>
      <c r="E230" s="51"/>
      <c r="F230" s="51"/>
      <c r="G230" s="51">
        <v>3</v>
      </c>
      <c r="H230" s="68">
        <v>103</v>
      </c>
      <c r="I230" s="51"/>
      <c r="J230" s="51"/>
      <c r="K230" s="51"/>
      <c r="L230" s="51"/>
      <c r="M230" s="51"/>
      <c r="N230" s="51"/>
      <c r="O230" s="51"/>
      <c r="P230" s="51"/>
      <c r="Q230" s="52">
        <f>H230*0.04</f>
        <v>4.12</v>
      </c>
      <c r="R230" s="51"/>
      <c r="S230" s="51"/>
      <c r="T230" s="15"/>
    </row>
    <row r="231" spans="1:20">
      <c r="A231" s="69">
        <v>2</v>
      </c>
      <c r="B231" s="61" t="s">
        <v>188</v>
      </c>
      <c r="C231" s="51"/>
      <c r="D231" s="51"/>
      <c r="E231" s="51"/>
      <c r="F231" s="51"/>
      <c r="G231" s="51">
        <v>4</v>
      </c>
      <c r="H231" s="68">
        <v>137</v>
      </c>
      <c r="I231" s="51"/>
      <c r="J231" s="51"/>
      <c r="K231" s="51"/>
      <c r="L231" s="51"/>
      <c r="M231" s="51"/>
      <c r="N231" s="51"/>
      <c r="O231" s="51"/>
      <c r="P231" s="51"/>
      <c r="Q231" s="52">
        <f>H231*0.04</f>
        <v>5.48</v>
      </c>
      <c r="R231" s="51"/>
      <c r="S231" s="51"/>
      <c r="T231" s="1" t="s">
        <v>267</v>
      </c>
    </row>
    <row r="234" spans="1:20">
      <c r="O234" s="115"/>
      <c r="P234" s="115"/>
      <c r="Q234" s="115"/>
      <c r="R234" s="115"/>
      <c r="S234" s="115"/>
      <c r="T234" s="115"/>
    </row>
    <row r="235" spans="1:20">
      <c r="A235" s="114"/>
      <c r="B235" s="114"/>
      <c r="C235" s="114"/>
      <c r="D235" s="114"/>
      <c r="O235" s="114"/>
      <c r="P235" s="114"/>
      <c r="Q235" s="114"/>
      <c r="R235" s="114"/>
      <c r="S235" s="114"/>
      <c r="T235" s="114"/>
    </row>
    <row r="236" spans="1:20">
      <c r="O236" s="114"/>
      <c r="P236" s="114"/>
      <c r="Q236" s="114"/>
      <c r="R236" s="114"/>
      <c r="S236" s="114"/>
      <c r="T236" s="114"/>
    </row>
    <row r="237" spans="1:20">
      <c r="O237" s="114"/>
      <c r="P237" s="114"/>
      <c r="Q237" s="114"/>
      <c r="R237" s="114"/>
      <c r="S237" s="114"/>
      <c r="T237" s="114"/>
    </row>
    <row r="238" spans="1:20">
      <c r="O238" s="54"/>
      <c r="P238" s="54"/>
      <c r="Q238" s="54"/>
      <c r="R238" s="54"/>
      <c r="S238" s="54"/>
      <c r="T238" s="54"/>
    </row>
    <row r="239" spans="1:20">
      <c r="O239" s="54"/>
      <c r="P239" s="54"/>
      <c r="Q239" s="54"/>
      <c r="R239" s="54"/>
      <c r="S239" s="54"/>
      <c r="T239" s="54"/>
    </row>
    <row r="240" spans="1:20">
      <c r="O240" s="54"/>
      <c r="P240" s="54"/>
      <c r="Q240" s="54"/>
      <c r="R240" s="54"/>
      <c r="S240" s="54"/>
      <c r="T240" s="54"/>
    </row>
    <row r="241" spans="15:20">
      <c r="O241" s="54"/>
      <c r="P241" s="54"/>
      <c r="Q241" s="54"/>
      <c r="R241" s="54"/>
      <c r="S241" s="54"/>
      <c r="T241" s="54"/>
    </row>
    <row r="242" spans="15:20">
      <c r="O242" s="54"/>
      <c r="P242" s="54"/>
      <c r="Q242" s="54"/>
      <c r="R242" s="54"/>
      <c r="S242" s="54"/>
      <c r="T242" s="54"/>
    </row>
    <row r="243" spans="15:20">
      <c r="O243" s="114"/>
      <c r="P243" s="114"/>
      <c r="Q243" s="114"/>
      <c r="R243" s="114"/>
      <c r="S243" s="114"/>
      <c r="T243" s="114"/>
    </row>
  </sheetData>
  <mergeCells count="23">
    <mergeCell ref="O243:T243"/>
    <mergeCell ref="Q4:S4"/>
    <mergeCell ref="A1:T1"/>
    <mergeCell ref="A2:T2"/>
    <mergeCell ref="A4:A6"/>
    <mergeCell ref="B4:B6"/>
    <mergeCell ref="Q5:Q6"/>
    <mergeCell ref="R5:R6"/>
    <mergeCell ref="S5:S6"/>
    <mergeCell ref="T4:T6"/>
    <mergeCell ref="M5:N5"/>
    <mergeCell ref="C5:D5"/>
    <mergeCell ref="E5:F5"/>
    <mergeCell ref="O236:T236"/>
    <mergeCell ref="A3:T3"/>
    <mergeCell ref="O237:T237"/>
    <mergeCell ref="C4:P4"/>
    <mergeCell ref="G5:H5"/>
    <mergeCell ref="I5:J5"/>
    <mergeCell ref="A235:D235"/>
    <mergeCell ref="O234:T234"/>
    <mergeCell ref="O235:T235"/>
    <mergeCell ref="K5:L5"/>
  </mergeCells>
  <pageMargins left="0.55118110236220474" right="0.19685039370078741" top="0.39370078740157483" bottom="0.43307086614173229" header="0.31496062992125984" footer="0.31496062992125984"/>
  <pageSetup paperSize="9" scale="78" orientation="landscape" verticalDpi="0" r:id="rId1"/>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phường Quảng Trị TH</vt:lpstr>
      <vt:lpstr>phường Quảng Trị</vt:lpstr>
      <vt:lpstr>mẫu 3a</vt:lpstr>
      <vt:lpstr>'mẫu 3a'!Print_Area</vt:lpstr>
      <vt:lpstr>'phường Quảng Trị'!Print_Area</vt:lpstr>
      <vt:lpstr>'phường Quảng Trị TH'!Print_Area</vt:lpstr>
    </vt:vector>
  </TitlesOfParts>
  <Company>Phan Danh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Tommy_Phan</dc:creator>
  <cp:lastModifiedBy>Windows 10</cp:lastModifiedBy>
  <cp:lastPrinted>2025-10-17T01:10:04Z</cp:lastPrinted>
  <dcterms:created xsi:type="dcterms:W3CDTF">2019-10-16T10:29:00Z</dcterms:created>
  <dcterms:modified xsi:type="dcterms:W3CDTF">2025-10-17T03:13:47Z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CAC8D24136224C23BD06AB6304471137_12</vt:lpwstr>
  </property>
  <property fmtid="{D5CDD505-2E9C-101B-9397-08002B2CF9AE}" pid="3" name="KSOProductBuildVer">
    <vt:lpwstr>1033-12.2.0.21931</vt:lpwstr>
  </property>
</Properties>
</file>